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2525" documentId="13_ncr:1_{57BBCDB9-EB52-B946-AFCD-FFB5F60EF2D2}" xr6:coauthVersionLast="47" xr6:coauthVersionMax="47" xr10:uidLastSave="{A49EC4D4-A69F-0B4E-996B-5974569C6982}"/>
  <bookViews>
    <workbookView xWindow="0" yWindow="620" windowWidth="38020" windowHeight="21600" firstSheet="4" activeTab="11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Reversal - 12,13" sheetId="32" r:id="rId12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84" i="32" l="1"/>
  <c r="B784" i="32"/>
  <c r="B772" i="32"/>
  <c r="C759" i="32"/>
  <c r="B759" i="32"/>
  <c r="L540" i="32"/>
  <c r="L542" i="32" s="1"/>
  <c r="N541" i="32"/>
  <c r="N542" i="32" s="1"/>
  <c r="C523" i="32"/>
  <c r="C506" i="32"/>
  <c r="E506" i="32"/>
  <c r="G508" i="32"/>
  <c r="B488" i="32"/>
  <c r="C521" i="32" s="1"/>
  <c r="C478" i="32"/>
  <c r="C520" i="32" s="1"/>
  <c r="C472" i="32"/>
  <c r="D467" i="32"/>
  <c r="G466" i="32"/>
  <c r="G467" i="32" s="1"/>
  <c r="C450" i="32"/>
  <c r="C519" i="32" s="1"/>
  <c r="R79" i="32"/>
  <c r="R76" i="32"/>
  <c r="R73" i="32"/>
  <c r="O73" i="32"/>
  <c r="O76" i="32" s="1"/>
  <c r="O79" i="32" s="1"/>
  <c r="R68" i="32"/>
  <c r="R67" i="32"/>
  <c r="R66" i="32"/>
  <c r="O67" i="32"/>
  <c r="O66" i="32"/>
  <c r="R62" i="32"/>
  <c r="R60" i="32"/>
  <c r="O60" i="32"/>
  <c r="O62" i="32" s="1"/>
  <c r="R57" i="32"/>
  <c r="O57" i="32"/>
  <c r="R56" i="32"/>
  <c r="O56" i="32"/>
  <c r="R55" i="32"/>
  <c r="O55" i="32"/>
  <c r="O123" i="32"/>
  <c r="L108" i="32" s="1"/>
  <c r="K108" i="32" s="1"/>
  <c r="N119" i="32"/>
  <c r="N118" i="32"/>
  <c r="K110" i="32" s="1"/>
  <c r="N117" i="32"/>
  <c r="N116" i="32"/>
  <c r="L110" i="32" s="1"/>
  <c r="L121" i="32"/>
  <c r="N121" i="32" s="1"/>
  <c r="L120" i="32"/>
  <c r="N120" i="32" s="1"/>
  <c r="J110" i="32" s="1"/>
  <c r="F458" i="29"/>
  <c r="F452" i="29"/>
  <c r="F453" i="29"/>
  <c r="F454" i="29"/>
  <c r="F455" i="29"/>
  <c r="F451" i="29"/>
  <c r="D459" i="29"/>
  <c r="D458" i="29"/>
  <c r="C297" i="29"/>
  <c r="D297" i="29" s="1"/>
  <c r="C298" i="29" s="1"/>
  <c r="G280" i="29"/>
  <c r="G281" i="29"/>
  <c r="H281" i="29" s="1"/>
  <c r="B300" i="29" s="1"/>
  <c r="G282" i="29"/>
  <c r="G283" i="29"/>
  <c r="H283" i="29" s="1"/>
  <c r="G279" i="29"/>
  <c r="D189" i="29"/>
  <c r="C189" i="29"/>
  <c r="D152" i="29"/>
  <c r="E152" i="29"/>
  <c r="C152" i="29"/>
  <c r="D151" i="29"/>
  <c r="E151" i="29"/>
  <c r="C151" i="29"/>
  <c r="C117" i="29"/>
  <c r="E80" i="29"/>
  <c r="C42" i="29"/>
  <c r="D206" i="27"/>
  <c r="E207" i="27"/>
  <c r="D207" i="27" s="1"/>
  <c r="E173" i="27"/>
  <c r="E156" i="27"/>
  <c r="D51" i="27"/>
  <c r="D50" i="27"/>
  <c r="D52" i="27"/>
  <c r="D49" i="27"/>
  <c r="D303" i="26"/>
  <c r="D304" i="26"/>
  <c r="D300" i="26"/>
  <c r="D296" i="26"/>
  <c r="D289" i="26"/>
  <c r="B242" i="26"/>
  <c r="D68" i="26"/>
  <c r="D67" i="26"/>
  <c r="C67" i="26" s="1"/>
  <c r="E78" i="26"/>
  <c r="H71" i="26"/>
  <c r="F233" i="24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J553" i="32" l="1"/>
  <c r="J558" i="32" s="1"/>
  <c r="C513" i="32"/>
  <c r="C522" i="32" s="1"/>
  <c r="O68" i="32"/>
  <c r="L112" i="32"/>
  <c r="K111" i="32" s="1"/>
  <c r="K112" i="32" s="1"/>
  <c r="J111" i="32" s="1"/>
  <c r="J108" i="32"/>
  <c r="H280" i="29"/>
  <c r="B299" i="29" s="1"/>
  <c r="E299" i="29"/>
  <c r="H282" i="29"/>
  <c r="B297" i="29" s="1"/>
  <c r="E297" i="29"/>
  <c r="H279" i="29"/>
  <c r="B298" i="29" s="1"/>
  <c r="E298" i="29"/>
  <c r="D298" i="29"/>
  <c r="C299" i="29" s="1"/>
  <c r="D299" i="29" s="1"/>
  <c r="D208" i="27"/>
  <c r="B208" i="27" s="1"/>
  <c r="E214" i="27" s="1"/>
  <c r="E201" i="24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J112" i="32" l="1"/>
  <c r="C300" i="29"/>
  <c r="E300" i="29" s="1"/>
  <c r="D300" i="29"/>
  <c r="G203" i="24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73" i="27"/>
  <c r="C260" i="27"/>
  <c r="C261" i="27"/>
  <c r="C262" i="27"/>
  <c r="C263" i="27"/>
  <c r="C264" i="27"/>
  <c r="C265" i="27"/>
  <c r="C266" i="27"/>
  <c r="C267" i="27"/>
  <c r="C268" i="27"/>
  <c r="C269" i="27"/>
  <c r="C270" i="27"/>
  <c r="C259" i="27"/>
  <c r="F189" i="27"/>
  <c r="D85" i="27"/>
  <c r="D93" i="27" s="1"/>
  <c r="D97" i="27" s="1"/>
  <c r="E67" i="26"/>
  <c r="H68" i="26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J431" i="32"/>
  <c r="M433" i="32"/>
  <c r="J425" i="32"/>
  <c r="M426" i="32"/>
  <c r="M427" i="32" s="1"/>
  <c r="AB238" i="32"/>
  <c r="AB243" i="32" s="1"/>
  <c r="U226" i="32"/>
  <c r="AB226" i="32" s="1"/>
  <c r="AB228" i="32" s="1"/>
  <c r="AB233" i="32" s="1"/>
  <c r="U232" i="32"/>
  <c r="U244" i="32"/>
  <c r="U238" i="32"/>
  <c r="K182" i="32"/>
  <c r="K176" i="32"/>
  <c r="K178" i="32" s="1"/>
  <c r="J164" i="32"/>
  <c r="J165" i="32" s="1"/>
  <c r="J166" i="32" s="1"/>
  <c r="J167" i="32" s="1"/>
  <c r="J168" i="32" s="1"/>
  <c r="J169" i="32" s="1"/>
  <c r="J170" i="32" s="1"/>
  <c r="J171" i="32" s="1"/>
  <c r="J172" i="32" s="1"/>
  <c r="J173" i="32" s="1"/>
  <c r="J174" i="32" s="1"/>
  <c r="H396" i="29"/>
  <c r="H395" i="29"/>
  <c r="G396" i="29"/>
  <c r="G395" i="29"/>
  <c r="F396" i="29"/>
  <c r="F395" i="29"/>
  <c r="E452" i="29"/>
  <c r="E451" i="29"/>
  <c r="E457" i="29" s="1"/>
  <c r="D452" i="29"/>
  <c r="D453" i="29" s="1"/>
  <c r="D451" i="29"/>
  <c r="D457" i="29" s="1"/>
  <c r="F439" i="29"/>
  <c r="G439" i="29" s="1"/>
  <c r="H439" i="29" s="1"/>
  <c r="E348" i="29"/>
  <c r="E347" i="29"/>
  <c r="C348" i="29"/>
  <c r="C347" i="29"/>
  <c r="C330" i="29"/>
  <c r="C331" i="29"/>
  <c r="C191" i="29"/>
  <c r="D191" i="29"/>
  <c r="D190" i="29"/>
  <c r="C190" i="29"/>
  <c r="K70" i="29"/>
  <c r="J70" i="29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J96" i="29" s="1"/>
  <c r="J97" i="29" s="1"/>
  <c r="J98" i="29" s="1"/>
  <c r="B203" i="26"/>
  <c r="C194" i="26"/>
  <c r="E183" i="26"/>
  <c r="E187" i="26" s="1"/>
  <c r="E154" i="26"/>
  <c r="D154" i="26" s="1"/>
  <c r="C493" i="24"/>
  <c r="D499" i="24" s="1"/>
  <c r="D500" i="24" s="1"/>
  <c r="B142" i="22"/>
  <c r="AB245" i="32" l="1"/>
  <c r="O431" i="32"/>
  <c r="O425" i="32"/>
  <c r="K71" i="29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K96" i="29" s="1"/>
  <c r="K97" i="29" s="1"/>
  <c r="K98" i="29" s="1"/>
  <c r="M70" i="29"/>
  <c r="H260" i="27"/>
  <c r="E204" i="24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225" i="32"/>
  <c r="D454" i="29"/>
  <c r="D455" i="29" s="1"/>
  <c r="E453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F457" i="29"/>
  <c r="E454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E455" i="29"/>
  <c r="E458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E459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59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553" i="32"/>
  <c r="B555" i="32" s="1"/>
  <c r="F554" i="32"/>
  <c r="F555" i="32" s="1"/>
  <c r="C348" i="32"/>
  <c r="C349" i="32" s="1"/>
  <c r="C350" i="32" s="1"/>
  <c r="C344" i="32"/>
  <c r="C345" i="32" s="1"/>
  <c r="C346" i="32" s="1"/>
  <c r="D349" i="32"/>
  <c r="D350" i="32" s="1"/>
  <c r="D351" i="32" s="1"/>
  <c r="D345" i="32"/>
  <c r="D346" i="32" s="1"/>
  <c r="D347" i="32" s="1"/>
  <c r="E345" i="32"/>
  <c r="E346" i="32" s="1"/>
  <c r="E347" i="32" s="1"/>
  <c r="E348" i="32" s="1"/>
  <c r="E349" i="32" s="1"/>
  <c r="E350" i="32" s="1"/>
  <c r="E351" i="32" s="1"/>
  <c r="D258" i="32"/>
  <c r="B206" i="32"/>
  <c r="D206" i="32"/>
  <c r="C206" i="32"/>
  <c r="C147" i="32"/>
  <c r="D827" i="32"/>
  <c r="D820" i="32"/>
  <c r="D822" i="32" s="1"/>
  <c r="D829" i="32" s="1"/>
  <c r="C772" i="32"/>
  <c r="D696" i="32"/>
  <c r="D695" i="32"/>
  <c r="D694" i="32"/>
  <c r="D687" i="32"/>
  <c r="D688" i="32" s="1"/>
  <c r="D697" i="32" s="1"/>
  <c r="E635" i="32"/>
  <c r="D641" i="32" s="1"/>
  <c r="D644" i="32" s="1"/>
  <c r="D599" i="32"/>
  <c r="C597" i="32" s="1"/>
  <c r="C596" i="32"/>
  <c r="C595" i="32"/>
  <c r="K564" i="32"/>
  <c r="K565" i="32" s="1"/>
  <c r="D396" i="32"/>
  <c r="C398" i="32" s="1"/>
  <c r="C394" i="32"/>
  <c r="B394" i="32" s="1"/>
  <c r="C332" i="32"/>
  <c r="D334" i="32"/>
  <c r="C336" i="32" s="1"/>
  <c r="C290" i="32"/>
  <c r="D291" i="32"/>
  <c r="C289" i="32" s="1"/>
  <c r="F233" i="32"/>
  <c r="D240" i="32" s="1"/>
  <c r="D242" i="32" s="1"/>
  <c r="C242" i="32" s="1"/>
  <c r="C244" i="32" s="1"/>
  <c r="D147" i="32"/>
  <c r="E147" i="32"/>
  <c r="E148" i="32" s="1"/>
  <c r="D146" i="32" s="1"/>
  <c r="D144" i="32"/>
  <c r="C144" i="32" s="1"/>
  <c r="H420" i="29"/>
  <c r="H419" i="29"/>
  <c r="G420" i="29"/>
  <c r="G419" i="29"/>
  <c r="F420" i="29"/>
  <c r="F419" i="29"/>
  <c r="E384" i="29"/>
  <c r="E383" i="29"/>
  <c r="E382" i="29"/>
  <c r="E381" i="29"/>
  <c r="C384" i="29"/>
  <c r="C383" i="29"/>
  <c r="C382" i="29"/>
  <c r="C381" i="29"/>
  <c r="D381" i="29" s="1"/>
  <c r="A383" i="29"/>
  <c r="A382" i="29"/>
  <c r="E372" i="29"/>
  <c r="E373" i="29"/>
  <c r="E374" i="29"/>
  <c r="E375" i="29"/>
  <c r="E371" i="29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558" i="32"/>
  <c r="C559" i="32" s="1"/>
  <c r="B385" i="29"/>
  <c r="F373" i="29"/>
  <c r="B383" i="29"/>
  <c r="F372" i="29"/>
  <c r="B384" i="29"/>
  <c r="F371" i="29"/>
  <c r="B382" i="29"/>
  <c r="F375" i="29"/>
  <c r="B381" i="29"/>
  <c r="F374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353" i="32"/>
  <c r="D828" i="32"/>
  <c r="A834" i="32" s="1"/>
  <c r="D700" i="32"/>
  <c r="C598" i="32"/>
  <c r="C396" i="32"/>
  <c r="B398" i="32" s="1"/>
  <c r="B396" i="32" s="1"/>
  <c r="C334" i="32"/>
  <c r="C291" i="32"/>
  <c r="B289" i="32" s="1"/>
  <c r="B290" i="32"/>
  <c r="C210" i="32"/>
  <c r="D148" i="32"/>
  <c r="C146" i="32" s="1"/>
  <c r="C148" i="32" s="1"/>
  <c r="D382" i="29"/>
  <c r="D383" i="29" s="1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91" i="32"/>
  <c r="D384" i="29"/>
  <c r="E385" i="29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C385" i="29"/>
  <c r="D385" i="29" s="1"/>
  <c r="E387" i="29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E345" i="24" l="1"/>
  <c r="D345" i="24" s="1"/>
  <c r="G345" i="24" s="1"/>
  <c r="C345" i="24"/>
  <c r="G78" i="24"/>
  <c r="C318" i="24"/>
  <c r="F317" i="24"/>
  <c r="B318" i="24" s="1"/>
  <c r="D317" i="24"/>
  <c r="E317" i="24" s="1"/>
  <c r="E346" i="24" l="1"/>
  <c r="D346" i="24" s="1"/>
  <c r="C346" i="24"/>
  <c r="C79" i="24"/>
  <c r="E79" i="24"/>
  <c r="D79" i="24" s="1"/>
  <c r="F318" i="24"/>
  <c r="D318" i="24"/>
  <c r="E318" i="24" s="1"/>
  <c r="G346" i="24" l="1"/>
  <c r="G79" i="24"/>
  <c r="E301" i="29"/>
  <c r="E80" i="24" l="1"/>
  <c r="D80" i="24" s="1"/>
  <c r="C80" i="24"/>
  <c r="D192" i="29"/>
  <c r="C192" i="29"/>
  <c r="G179" i="29"/>
  <c r="G178" i="29"/>
  <c r="F86" i="29"/>
  <c r="F88" i="29" s="1"/>
  <c r="E56" i="29"/>
  <c r="E57" i="29"/>
  <c r="E55" i="29"/>
  <c r="C54" i="29"/>
  <c r="D55" i="29" s="1"/>
  <c r="G166" i="29"/>
  <c r="G165" i="29"/>
  <c r="G42" i="29"/>
  <c r="F117" i="29"/>
  <c r="G80" i="24" l="1"/>
  <c r="E81" i="24"/>
  <c r="D81" i="24" s="1"/>
  <c r="C81" i="24"/>
  <c r="G81" i="24" s="1"/>
  <c r="F55" i="29"/>
  <c r="D56" i="29" s="1"/>
  <c r="F56" i="29" s="1"/>
  <c r="D57" i="29" s="1"/>
  <c r="D317" i="27"/>
  <c r="D316" i="27"/>
  <c r="E303" i="27"/>
  <c r="E307" i="27" s="1"/>
  <c r="F176" i="27"/>
  <c r="C69" i="27"/>
  <c r="D61" i="27"/>
  <c r="E61" i="27" s="1"/>
  <c r="D60" i="27"/>
  <c r="E60" i="27" s="1"/>
  <c r="D59" i="27"/>
  <c r="E59" i="27" s="1"/>
  <c r="D58" i="27"/>
  <c r="E58" i="27" s="1"/>
  <c r="G61" i="27" s="1"/>
  <c r="B67" i="26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D256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F67" i="26"/>
  <c r="B68" i="26" s="1"/>
  <c r="E68" i="26"/>
  <c r="E268" i="24"/>
  <c r="J262" i="24"/>
  <c r="F268" i="24" s="1"/>
  <c r="C279" i="27"/>
  <c r="F183" i="27"/>
  <c r="F194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C68" i="26" l="1"/>
  <c r="F68" i="26" s="1"/>
  <c r="B69" i="26" s="1"/>
  <c r="D69" i="26" s="1"/>
  <c r="G82" i="24"/>
  <c r="E69" i="26"/>
  <c r="E70" i="26" s="1"/>
  <c r="E71" i="26" s="1"/>
  <c r="E72" i="26" s="1"/>
  <c r="E73" i="26" s="1"/>
  <c r="E74" i="26" s="1"/>
  <c r="E75" i="26" s="1"/>
  <c r="E76" i="26" s="1"/>
  <c r="E77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69" i="26" l="1"/>
  <c r="F69" i="26"/>
  <c r="B70" i="26" s="1"/>
  <c r="D70" i="26" s="1"/>
  <c r="E83" i="24"/>
  <c r="D83" i="24" s="1"/>
  <c r="C83" i="24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/>
  <c r="B71" i="26" s="1"/>
  <c r="D71" i="26" s="1"/>
  <c r="G83" i="24"/>
  <c r="E274" i="24"/>
  <c r="D274" i="24" s="1"/>
  <c r="G274" i="24" s="1"/>
  <c r="C275" i="24" s="1"/>
  <c r="C108" i="26"/>
  <c r="F106" i="26"/>
  <c r="B107" i="26" s="1"/>
  <c r="D106" i="26"/>
  <c r="E106" i="26" s="1"/>
  <c r="C71" i="26" l="1"/>
  <c r="F71" i="26" s="1"/>
  <c r="B72" i="26" s="1"/>
  <c r="D72" i="26" s="1"/>
  <c r="E84" i="24"/>
  <c r="D84" i="24" s="1"/>
  <c r="G84" i="24" s="1"/>
  <c r="C84" i="24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72" i="26" l="1"/>
  <c r="F72" i="26" s="1"/>
  <c r="B73" i="26" s="1"/>
  <c r="D73" i="26" s="1"/>
  <c r="C85" i="24"/>
  <c r="E85" i="24"/>
  <c r="D85" i="24" s="1"/>
  <c r="G85" i="24" s="1"/>
  <c r="E278" i="24"/>
  <c r="D278" i="24" s="1"/>
  <c r="G278" i="24" s="1"/>
  <c r="C279" i="24" s="1"/>
  <c r="C110" i="26"/>
  <c r="F108" i="26"/>
  <c r="B109" i="26" s="1"/>
  <c r="D108" i="26"/>
  <c r="E108" i="26" s="1"/>
  <c r="C73" i="26" l="1"/>
  <c r="F73" i="26" s="1"/>
  <c r="B74" i="26" s="1"/>
  <c r="D74" i="26" s="1"/>
  <c r="E86" i="24"/>
  <c r="D86" i="24" s="1"/>
  <c r="C86" i="24"/>
  <c r="G86" i="24"/>
  <c r="E279" i="24"/>
  <c r="D279" i="24" s="1"/>
  <c r="G279" i="24" s="1"/>
  <c r="F109" i="26"/>
  <c r="B110" i="26" s="1"/>
  <c r="D109" i="26"/>
  <c r="E109" i="26" s="1"/>
  <c r="C111" i="26"/>
  <c r="C74" i="26" l="1"/>
  <c r="F74" i="26" s="1"/>
  <c r="B75" i="26" s="1"/>
  <c r="D75" i="26" s="1"/>
  <c r="C87" i="24"/>
  <c r="E87" i="24"/>
  <c r="D87" i="24" s="1"/>
  <c r="C112" i="26"/>
  <c r="F110" i="26"/>
  <c r="B111" i="26" s="1"/>
  <c r="D110" i="26"/>
  <c r="E110" i="26" s="1"/>
  <c r="C75" i="26" l="1"/>
  <c r="F75" i="26"/>
  <c r="B76" i="26"/>
  <c r="D76" i="26" s="1"/>
  <c r="C76" i="26" s="1"/>
  <c r="G87" i="24"/>
  <c r="E88" i="24"/>
  <c r="D88" i="24" s="1"/>
  <c r="C88" i="24"/>
  <c r="F111" i="26"/>
  <c r="B112" i="26" s="1"/>
  <c r="D111" i="26"/>
  <c r="E111" i="26" s="1"/>
  <c r="F76" i="26" l="1"/>
  <c r="B77" i="26"/>
  <c r="D77" i="26" s="1"/>
  <c r="C77" i="26" s="1"/>
  <c r="G88" i="24"/>
  <c r="C89" i="24"/>
  <c r="E89" i="24"/>
  <c r="D89" i="24" s="1"/>
  <c r="F112" i="26"/>
  <c r="D112" i="26"/>
  <c r="E112" i="26" s="1"/>
  <c r="F77" i="26" l="1"/>
  <c r="B78" i="26" s="1"/>
  <c r="G89" i="24"/>
  <c r="D78" i="26" l="1"/>
  <c r="C78" i="26"/>
  <c r="F78" i="26" s="1"/>
  <c r="C90" i="24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<sst xmlns="http://schemas.openxmlformats.org/spreadsheetml/2006/main" count="5145" uniqueCount="3534">
  <si>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</si>
  <si>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</si>
  <si>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</si>
  <si>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</si>
  <si>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</si>
  <si>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</si>
  <si>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</si>
  <si>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</si>
  <si>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</si>
  <si>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</si>
  <si>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</si>
  <si>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</si>
  <si>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</si>
  <si>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</si>
  <si>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</si>
  <si>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</si>
  <si>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</si>
  <si>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</si>
  <si>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</si>
  <si>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</si>
  <si>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</si>
  <si>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</si>
  <si>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</si>
  <si>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</si>
  <si>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</si>
  <si>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</si>
  <si>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</si>
  <si>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</si>
  <si>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</si>
  <si>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</si>
  <si>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</si>
  <si>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</si>
  <si>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</si>
  <si>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</si>
  <si>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</si>
  <si>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</si>
  <si>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</si>
  <si>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</si>
  <si>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</si>
  <si>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</si>
  <si>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</si>
  <si>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</si>
  <si>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</si>
  <si>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</si>
  <si>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</si>
  <si>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</si>
  <si>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</si>
  <si>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</si>
  <si>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</si>
  <si>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</si>
  <si>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</si>
  <si>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</si>
  <si>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</si>
  <si>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</si>
  <si>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</si>
  <si>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</si>
  <si>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</si>
  <si>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</si>
  <si>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</si>
  <si>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</si>
  <si>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</si>
  <si>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</si>
  <si>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</si>
  <si>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</si>
  <si>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</si>
  <si>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</si>
  <si>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</si>
  <si>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</si>
  <si>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</si>
  <si>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</si>
  <si>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</si>
  <si>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</si>
  <si>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</si>
  <si>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</si>
  <si>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</si>
  <si>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</si>
  <si>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</si>
  <si>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</si>
  <si>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</si>
  <si>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</si>
  <si>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</si>
  <si>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</si>
  <si>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</si>
  <si>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</si>
  <si>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</si>
  <si>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</si>
  <si>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</si>
  <si>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</si>
  <si>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</si>
  <si>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</si>
  <si>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</si>
  <si>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</si>
  <si>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</si>
  <si>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</si>
  <si>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</si>
  <si>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</si>
  <si>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</si>
  <si>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</si>
  <si>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</si>
  <si>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</si>
  <si>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</si>
  <si>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</si>
  <si>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</si>
  <si>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</si>
  <si>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</si>
  <si>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</si>
  <si>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</si>
  <si>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</si>
  <si>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</si>
  <si>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</si>
  <si>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</si>
  <si>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</si>
  <si>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</si>
  <si>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</si>
  <si>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</si>
  <si>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</si>
  <si>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</si>
  <si>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</si>
  <si>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</si>
  <si>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</si>
  <si>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</si>
  <si>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</si>
  <si>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</si>
  <si>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</si>
  <si>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</si>
  <si>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</si>
  <si>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</si>
  <si>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</si>
  <si>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</si>
  <si>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</si>
  <si>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</si>
  <si>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</si>
  <si>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</si>
  <si>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</si>
  <si>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</si>
  <si>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</si>
  <si>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</si>
  <si>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</si>
  <si>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</si>
  <si>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</si>
  <si>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</si>
  <si>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</si>
  <si>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</si>
  <si>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</si>
  <si>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</si>
  <si>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</si>
  <si>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</si>
  <si>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</si>
  <si>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</si>
  <si>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</si>
  <si>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</si>
  <si>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</si>
  <si>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</si>
  <si>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</si>
  <si>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</si>
  <si>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</si>
  <si>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</si>
  <si>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</si>
  <si>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</si>
  <si>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</si>
  <si>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</si>
  <si>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</si>
  <si>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</si>
  <si>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</si>
  <si>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</si>
  <si>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</si>
  <si>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</si>
  <si>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</si>
  <si>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</si>
  <si>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</si>
  <si>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</si>
  <si>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</si>
  <si>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</si>
  <si>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</si>
  <si>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</si>
  <si>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</si>
  <si>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</si>
  <si>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</si>
  <si>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</si>
  <si>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</si>
  <si>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</si>
  <si>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</si>
  <si>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</si>
  <si>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</si>
  <si>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</si>
  <si>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</si>
  <si>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</si>
  <si>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</si>
  <si>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</si>
  <si>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</si>
  <si>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</si>
  <si>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</si>
  <si>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</si>
  <si>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</si>
  <si>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</si>
  <si>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</si>
  <si>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</si>
  <si>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</si>
  <si>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</si>
  <si>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</si>
  <si>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</si>
  <si>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</si>
  <si>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</si>
  <si>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</si>
  <si>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</si>
  <si>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</si>
  <si>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</si>
  <si>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</si>
  <si>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</si>
  <si>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</si>
  <si>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</si>
  <si>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</si>
  <si>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</si>
  <si>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</si>
  <si>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</si>
  <si>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</si>
  <si>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</si>
  <si>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</si>
  <si>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</si>
  <si>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</si>
  <si>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</si>
  <si>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</si>
  <si>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</si>
  <si>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</si>
  <si>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</si>
  <si>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</si>
  <si>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</si>
  <si>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</si>
  <si>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</si>
  <si>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</si>
  <si>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</si>
  <si>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</si>
  <si>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</si>
  <si>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</si>
  <si>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</si>
  <si>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</si>
  <si>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</si>
  <si>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</si>
  <si>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</si>
  <si>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</si>
  <si>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</si>
  <si>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</si>
  <si>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</si>
  <si>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</si>
  <si>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</si>
  <si>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</si>
  <si>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</si>
  <si>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</si>
  <si>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</si>
  <si>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</si>
  <si>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</si>
  <si>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</si>
  <si>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</si>
  <si>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</si>
  <si>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</si>
  <si>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</si>
  <si>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</si>
  <si>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</si>
  <si>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</si>
  <si>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</si>
  <si>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</si>
  <si>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</si>
  <si>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</si>
  <si>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</si>
  <si>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</si>
  <si>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</si>
  <si>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</si>
  <si>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</si>
  <si>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</si>
  <si>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</si>
  <si>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</si>
  <si>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</si>
  <si>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</si>
  <si>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</si>
  <si>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</si>
  <si>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</si>
  <si>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</si>
  <si>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</si>
  <si>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</si>
  <si>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</si>
  <si>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</si>
  <si>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</si>
  <si>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</si>
  <si>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</si>
  <si>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</si>
  <si>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</si>
  <si>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</si>
  <si>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</si>
  <si>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</si>
  <si>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</si>
  <si>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</si>
  <si>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</si>
  <si>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</si>
  <si>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</si>
  <si>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</si>
  <si>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</si>
  <si>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</si>
  <si>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</si>
  <si>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</si>
  <si>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</si>
  <si>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</si>
  <si>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</si>
  <si>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</si>
  <si>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</si>
  <si>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</si>
  <si>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</si>
  <si>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</si>
  <si>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</si>
  <si>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</si>
  <si>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</si>
  <si>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</si>
  <si>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</si>
  <si>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</si>
  <si>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</si>
  <si>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</si>
  <si>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</si>
  <si>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</si>
  <si>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</si>
  <si>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</si>
  <si>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</si>
  <si>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</si>
  <si>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</si>
  <si>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</si>
  <si>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</si>
  <si>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</si>
  <si>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</si>
  <si>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</si>
  <si>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</si>
  <si>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</si>
  <si>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</si>
  <si>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</si>
  <si>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</si>
  <si>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</si>
  <si>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</si>
  <si>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</si>
  <si>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</si>
  <si>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</si>
  <si>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</si>
  <si>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</si>
  <si>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</si>
  <si>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</si>
  <si>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</si>
  <si>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</si>
  <si>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</si>
  <si>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</si>
  <si>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</si>
  <si>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</si>
  <si>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</si>
  <si>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</si>
  <si>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</si>
  <si>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</si>
  <si>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</si>
  <si>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</si>
  <si>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</si>
  <si>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</si>
  <si>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</si>
  <si>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</si>
  <si>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</si>
  <si>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</si>
  <si>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</si>
  <si>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</si>
  <si>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</si>
  <si>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</si>
  <si>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</si>
  <si>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</si>
  <si>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</si>
  <si>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</si>
  <si>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</si>
  <si>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</si>
  <si>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</si>
  <si>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</si>
  <si>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</si>
  <si>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</si>
  <si>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</si>
  <si>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</si>
  <si>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</si>
  <si>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</si>
  <si>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</si>
  <si>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</si>
  <si>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</si>
  <si>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</si>
  <si>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</si>
  <si>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</si>
  <si>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</si>
  <si>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</si>
  <si>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</si>
  <si>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</si>
  <si>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</si>
  <si>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</si>
  <si>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</si>
  <si>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</si>
  <si>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</si>
  <si>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</si>
  <si>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</si>
  <si>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</si>
  <si>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</si>
  <si>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</si>
  <si>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</si>
  <si>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</si>
  <si>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</si>
  <si>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</si>
  <si>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</si>
  <si>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</si>
  <si>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</si>
  <si>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</si>
  <si>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</si>
  <si>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</si>
  <si>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</si>
  <si>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</si>
  <si>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</si>
  <si>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</si>
  <si>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</si>
  <si>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</si>
  <si>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</si>
  <si>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</si>
  <si>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</si>
  <si>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</si>
  <si>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</si>
  <si>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</si>
  <si>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</si>
  <si>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</si>
  <si>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</si>
  <si>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</si>
  <si>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</si>
  <si>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</si>
  <si>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</si>
  <si>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</si>
  <si>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</si>
  <si>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</si>
  <si>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</si>
  <si>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</si>
  <si>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</si>
  <si>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</si>
  <si>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</si>
  <si>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</si>
  <si>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</si>
  <si>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</si>
  <si>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</si>
  <si>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</si>
  <si>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</si>
  <si>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</si>
  <si>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</si>
  <si>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</si>
  <si>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</si>
  <si>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</si>
  <si>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</si>
  <si>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</si>
  <si>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</si>
  <si>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</si>
  <si>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</si>
  <si>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</si>
  <si>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</si>
  <si>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</si>
  <si>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</si>
  <si>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</si>
  <si>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</si>
  <si>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</si>
  <si>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</si>
  <si>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</si>
  <si>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</si>
  <si>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</si>
  <si>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</si>
  <si>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</si>
  <si>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</si>
  <si>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</si>
  <si>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</si>
  <si>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</si>
  <si>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</si>
  <si>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</si>
  <si>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</si>
  <si>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</si>
  <si>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</si>
  <si>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</si>
  <si>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</si>
  <si>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</si>
  <si>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</si>
  <si>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</si>
  <si>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</si>
  <si>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</si>
  <si>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</si>
  <si>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</si>
  <si>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</si>
  <si>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</si>
  <si>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</si>
  <si>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</si>
  <si>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</si>
  <si>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</si>
  <si>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</si>
  <si>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</si>
  <si>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</si>
  <si>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</si>
  <si>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</si>
  <si>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</si>
  <si>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</si>
  <si>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</si>
  <si>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</si>
  <si>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</si>
  <si>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</si>
  <si>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</si>
  <si>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</si>
  <si>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</si>
  <si>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</si>
  <si>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</si>
  <si>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</si>
  <si>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</si>
  <si>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</si>
  <si>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</si>
  <si>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</si>
  <si>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</si>
  <si>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</si>
  <si>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</si>
  <si>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</si>
  <si>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</si>
  <si>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</si>
  <si>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</si>
  <si>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</si>
  <si>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</si>
  <si>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</si>
  <si>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</si>
  <si>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</si>
  <si>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</si>
  <si>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</si>
  <si>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</si>
  <si>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</si>
  <si>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</si>
  <si>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</si>
  <si>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</si>
  <si>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</si>
  <si>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</si>
  <si>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</si>
  <si>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</si>
  <si>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</si>
  <si>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</si>
  <si>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</si>
  <si>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</si>
  <si>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</si>
  <si>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</si>
  <si>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</si>
  <si>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</si>
  <si>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</si>
  <si>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</si>
  <si>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</si>
  <si>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</si>
  <si>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</si>
  <si>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</si>
  <si>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</si>
  <si>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</si>
  <si>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</si>
  <si>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</si>
  <si>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</si>
  <si>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</si>
  <si>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</si>
  <si>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</si>
  <si>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</si>
  <si>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</si>
  <si>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</si>
  <si>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</si>
  <si>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</si>
  <si>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</si>
  <si>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</si>
  <si>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</si>
  <si>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</si>
  <si>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</si>
  <si>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</si>
  <si>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</si>
  <si>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</si>
  <si>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</si>
  <si>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</si>
  <si>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</si>
  <si>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</si>
  <si>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</si>
  <si>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</si>
  <si>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</si>
  <si>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</si>
  <si>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</si>
  <si>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</si>
  <si>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</si>
  <si>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</si>
  <si>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</si>
  <si>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</si>
  <si>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</si>
  <si>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</si>
  <si>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</si>
  <si>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</si>
  <si>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</si>
  <si>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</si>
  <si>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</si>
  <si>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</si>
  <si>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</si>
  <si>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</si>
  <si>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</si>
  <si>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</si>
  <si>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</si>
  <si>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</si>
  <si>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</si>
  <si>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</si>
  <si>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</si>
  <si>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</si>
  <si>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</si>
  <si>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</si>
  <si>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</si>
  <si>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</si>
  <si>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</si>
  <si>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</si>
  <si>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</si>
  <si>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</si>
  <si>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</si>
  <si>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</si>
  <si>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</si>
  <si>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</si>
  <si>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</si>
  <si>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</si>
  <si>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</si>
  <si>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</si>
  <si>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</si>
  <si>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</si>
  <si>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</si>
  <si>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</si>
  <si>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</si>
  <si>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</si>
  <si>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</si>
  <si>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</si>
  <si>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</si>
  <si>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</si>
  <si>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</si>
  <si>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</si>
  <si>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</si>
  <si>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</si>
  <si>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</si>
  <si>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</si>
  <si>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</si>
  <si>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</si>
  <si>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</si>
  <si>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</si>
  <si>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</si>
  <si>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</si>
  <si>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</si>
  <si>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</si>
  <si>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</si>
  <si>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</si>
  <si>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</si>
  <si>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</si>
  <si>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</si>
  <si>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</si>
  <si>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</si>
  <si>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</si>
  <si>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</si>
  <si>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</si>
  <si>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</si>
  <si>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</si>
  <si>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</si>
  <si>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</si>
  <si>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</si>
  <si>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</si>
  <si>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</si>
  <si>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</si>
  <si>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</si>
  <si>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</si>
  <si>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</si>
  <si>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</si>
  <si>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</si>
  <si>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</si>
  <si>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</si>
  <si>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</si>
  <si>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</si>
  <si>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</si>
  <si>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</si>
  <si>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</si>
  <si>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</si>
  <si>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</si>
  <si>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</si>
  <si>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</si>
  <si>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</si>
  <si>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</si>
  <si>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</si>
  <si>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</si>
  <si>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</si>
  <si>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</si>
  <si>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</si>
  <si>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</si>
  <si>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</si>
  <si>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</si>
  <si>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</si>
  <si>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</si>
  <si>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</si>
  <si>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</si>
  <si>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</si>
  <si>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</si>
  <si>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</si>
  <si>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</si>
  <si>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</si>
  <si>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</si>
  <si>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</si>
  <si>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</si>
  <si>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</si>
  <si>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</si>
  <si>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</si>
  <si>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</si>
  <si>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</si>
  <si>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</si>
  <si>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</si>
  <si>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</si>
  <si>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</si>
  <si>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</si>
  <si>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</si>
  <si>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</si>
  <si>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</si>
  <si>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</si>
  <si>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</si>
  <si>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</si>
  <si>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</si>
  <si>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</si>
  <si>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</si>
  <si>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</si>
  <si>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</si>
  <si>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</si>
  <si>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</si>
  <si>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</si>
  <si>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</si>
  <si>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</si>
  <si>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</si>
  <si>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</si>
  <si>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</si>
  <si>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</si>
  <si>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</si>
  <si>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</si>
  <si>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</si>
  <si>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</si>
  <si>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</si>
  <si>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</si>
  <si>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</si>
  <si>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</si>
  <si>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</si>
  <si>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</si>
  <si>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</si>
  <si>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</si>
  <si>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</si>
  <si>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</si>
  <si>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</si>
  <si>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</si>
  <si>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</si>
  <si>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</si>
  <si>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</si>
  <si>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</si>
  <si>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</si>
  <si>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</si>
  <si>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</si>
  <si>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</si>
  <si>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</si>
  <si>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</si>
  <si>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</si>
  <si>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</si>
  <si>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</si>
  <si>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</si>
  <si>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</si>
  <si>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</si>
  <si>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</si>
  <si>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</si>
  <si>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</si>
  <si>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</si>
  <si>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</si>
  <si>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</si>
  <si>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</si>
  <si>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</si>
  <si>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</si>
  <si>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</si>
  <si>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</si>
  <si>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</si>
  <si>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</si>
  <si>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</si>
  <si>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</si>
  <si>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</si>
  <si>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</si>
  <si>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</si>
  <si>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</si>
  <si>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</si>
  <si>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</si>
  <si>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</si>
  <si>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</si>
  <si>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</si>
  <si>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</si>
  <si>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</si>
  <si>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</si>
  <si>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</si>
  <si>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</si>
  <si>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</si>
  <si>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</si>
  <si>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</si>
  <si>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</si>
  <si>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</si>
  <si>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</si>
  <si>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</si>
  <si>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</si>
  <si>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</si>
  <si>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</si>
  <si>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</si>
  <si>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</si>
  <si>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</si>
  <si>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</si>
  <si>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</si>
  <si>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</si>
  <si>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</si>
  <si>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</si>
  <si>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</si>
  <si>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</si>
  <si>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</si>
  <si>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</si>
  <si>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</si>
  <si>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</si>
  <si>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</si>
  <si>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</si>
  <si>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</si>
  <si>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</si>
  <si>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</si>
  <si>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</si>
  <si>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</si>
  <si>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</si>
  <si>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</si>
  <si>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</si>
  <si>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</si>
  <si>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</si>
  <si>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</si>
  <si>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</si>
  <si>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</si>
  <si>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</si>
  <si>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</si>
  <si>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</si>
  <si>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</si>
  <si>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</si>
  <si>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</si>
  <si>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</si>
  <si>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</si>
  <si>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</si>
  <si>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</si>
  <si>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</si>
  <si>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</si>
  <si>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</si>
  <si>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</si>
  <si>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</si>
  <si>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</si>
  <si>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</si>
  <si>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</si>
  <si>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</si>
  <si>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</si>
  <si>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</si>
  <si>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</si>
  <si>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</si>
  <si>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</si>
  <si>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</si>
  <si>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</si>
  <si>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</si>
  <si>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</si>
  <si>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</si>
  <si>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</si>
  <si>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</si>
  <si>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</si>
  <si>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</si>
  <si>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</si>
  <si>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</si>
  <si>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</si>
  <si>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</si>
  <si>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</si>
  <si>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</si>
  <si>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</si>
  <si>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</si>
  <si>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</si>
  <si>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</si>
  <si>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</si>
  <si>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</si>
  <si>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</si>
  <si>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</si>
  <si>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</si>
  <si>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</si>
  <si>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</si>
  <si>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</si>
  <si>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</si>
  <si>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</si>
  <si>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</si>
  <si>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</si>
  <si>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</si>
  <si>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</si>
  <si>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</si>
  <si>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</si>
  <si>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</si>
  <si>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</si>
  <si>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</si>
  <si>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</si>
  <si>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</si>
  <si>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</si>
  <si>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</si>
  <si>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</si>
  <si>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</si>
  <si>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</si>
  <si>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</si>
  <si>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</si>
  <si>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</si>
  <si>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</si>
  <si>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</si>
  <si>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</si>
  <si>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</si>
  <si>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</si>
  <si>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</si>
  <si>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</si>
  <si>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</si>
  <si>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</si>
  <si>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</si>
  <si>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</si>
  <si>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</si>
  <si>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</si>
  <si>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</si>
  <si>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</si>
  <si>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</si>
  <si>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</si>
  <si>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</si>
  <si>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</si>
  <si>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</si>
  <si>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</si>
  <si>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</si>
  <si>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</si>
  <si>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</si>
  <si>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</si>
  <si>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</si>
  <si>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</si>
  <si>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</si>
  <si>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</si>
  <si>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</si>
  <si>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</si>
  <si>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</si>
  <si>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</si>
  <si>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</si>
  <si>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</si>
  <si>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</si>
  <si>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</si>
  <si>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</si>
  <si>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</si>
  <si>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</si>
  <si>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</si>
  <si>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</si>
  <si>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</si>
  <si>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</si>
  <si>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</si>
  <si>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</si>
  <si>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</si>
  <si>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</si>
  <si>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</si>
  <si>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</si>
  <si>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</si>
  <si>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</si>
  <si>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</si>
  <si>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</si>
  <si>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</si>
  <si>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</si>
  <si>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</si>
  <si>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</si>
  <si>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</si>
  <si>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</si>
  <si>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</si>
  <si>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</si>
  <si>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</si>
  <si>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</si>
  <si>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</si>
  <si>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</si>
  <si>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</si>
  <si>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</si>
  <si>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</si>
  <si>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</si>
  <si>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</si>
  <si>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</si>
  <si>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</si>
  <si>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</si>
  <si>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</si>
  <si>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</si>
  <si>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</si>
  <si>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</si>
  <si>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</si>
  <si>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</si>
  <si>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</si>
  <si>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</si>
  <si>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</si>
  <si>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</si>
  <si>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</si>
  <si>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</si>
  <si>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</si>
  <si>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</si>
  <si>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</si>
  <si>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</si>
  <si>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</si>
  <si>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</si>
  <si>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</si>
  <si>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</si>
  <si>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</si>
  <si>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</si>
  <si>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</si>
  <si>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</si>
  <si>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</si>
  <si>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</si>
  <si>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</si>
  <si>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</si>
  <si>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</si>
  <si>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</si>
  <si>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</si>
  <si>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</si>
  <si>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</si>
  <si>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</si>
  <si>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</si>
  <si>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</si>
  <si>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</si>
  <si>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</si>
  <si>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</si>
  <si>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</si>
  <si>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</si>
  <si>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</si>
  <si>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</si>
  <si>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</si>
  <si>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</si>
  <si>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</si>
  <si>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</si>
  <si>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</si>
  <si>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</si>
  <si>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</si>
  <si>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</si>
  <si>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</si>
  <si>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</si>
  <si>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</si>
  <si>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</si>
  <si>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</si>
  <si>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</si>
  <si>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</si>
  <si>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</si>
  <si>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</si>
  <si>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</si>
  <si>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</si>
  <si>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</si>
  <si>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</si>
  <si>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</si>
  <si>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</si>
  <si>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</si>
  <si>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</si>
  <si>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</si>
  <si>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</si>
  <si>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</si>
  <si>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</si>
  <si>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</si>
  <si>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</si>
  <si>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</si>
  <si>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</si>
  <si>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</si>
  <si>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</si>
  <si>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</si>
  <si>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</si>
  <si>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</si>
  <si>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</si>
  <si>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</si>
  <si>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</si>
  <si>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</si>
  <si>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</si>
  <si>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</si>
  <si>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</si>
  <si>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</si>
  <si>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</si>
  <si>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</si>
  <si>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</si>
  <si>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</si>
  <si>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</si>
  <si>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</si>
  <si>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</si>
  <si>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</si>
  <si>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</si>
  <si>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</si>
  <si>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</si>
  <si>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</si>
  <si>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</si>
  <si>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</si>
  <si>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</si>
  <si>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</si>
  <si>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</si>
  <si>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</si>
  <si>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</si>
  <si>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</si>
  <si>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</si>
  <si>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</si>
  <si>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</si>
  <si>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</si>
  <si>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</si>
  <si>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</si>
  <si>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</si>
  <si>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</si>
  <si>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</si>
  <si>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</si>
  <si>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</si>
  <si>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</si>
  <si>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</si>
  <si>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</si>
  <si>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</si>
  <si>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</si>
  <si>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</si>
  <si>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</si>
  <si>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</si>
  <si>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</si>
  <si>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</si>
  <si>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</si>
  <si>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</si>
  <si>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</si>
  <si>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</si>
  <si>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</si>
  <si>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</si>
  <si>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</si>
  <si>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</si>
  <si>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</si>
  <si>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</si>
  <si>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</si>
  <si>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</si>
  <si>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</si>
  <si>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</si>
  <si>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</si>
  <si>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</si>
  <si>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</si>
  <si>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</si>
  <si>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</si>
  <si>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</si>
  <si>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</si>
  <si>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</si>
  <si>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</si>
  <si>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</si>
  <si>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</si>
  <si>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</si>
  <si>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</si>
  <si>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</si>
  <si>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</si>
  <si>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</si>
  <si>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</si>
  <si>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</si>
  <si>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</si>
  <si>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</si>
  <si>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</si>
  <si>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</si>
  <si>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</si>
  <si>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</si>
  <si>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</si>
  <si>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</si>
  <si>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</si>
  <si>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</si>
  <si>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</si>
  <si>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</si>
  <si>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</si>
  <si>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</si>
  <si>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</si>
  <si>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</si>
  <si>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</si>
  <si>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</si>
  <si>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</si>
  <si>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</si>
  <si>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</si>
  <si>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</si>
  <si>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</si>
  <si>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</si>
  <si>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</si>
  <si>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</si>
  <si>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</si>
  <si>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</si>
  <si>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</si>
  <si>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</si>
  <si>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</si>
  <si>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</si>
  <si>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</si>
  <si>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</si>
  <si>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</si>
  <si>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</si>
  <si>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</si>
  <si>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</si>
  <si>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</si>
  <si>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</si>
  <si>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</si>
  <si>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</si>
  <si>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</si>
  <si>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</si>
  <si>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</si>
  <si>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</si>
  <si>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</si>
  <si>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</si>
  <si>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</si>
  <si>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</si>
  <si>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</si>
  <si>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</si>
  <si>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</si>
  <si>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</si>
  <si>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</si>
  <si>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</si>
  <si>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</si>
  <si>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</si>
  <si>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</si>
  <si>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</si>
  <si>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</si>
  <si>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</si>
  <si>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</si>
  <si>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</si>
  <si>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</si>
  <si>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</si>
  <si>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</si>
  <si>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</si>
  <si>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</si>
  <si>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</si>
  <si>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</si>
  <si>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</si>
  <si>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</si>
  <si>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</si>
  <si>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</si>
  <si>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</si>
  <si>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</si>
  <si>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</si>
  <si>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</si>
  <si>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</si>
  <si>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</si>
  <si>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</si>
  <si>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</si>
  <si>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</si>
  <si>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</si>
  <si>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</si>
  <si>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</si>
  <si>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</si>
  <si>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</si>
  <si>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</si>
  <si>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</si>
  <si>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</si>
  <si>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</si>
  <si>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</si>
  <si>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</si>
  <si>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</si>
  <si>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</si>
  <si>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</si>
  <si>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</si>
  <si>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</si>
  <si>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</si>
  <si>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</si>
  <si>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</si>
  <si>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</si>
  <si>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</si>
  <si>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</si>
  <si>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</si>
  <si>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</si>
  <si>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</si>
  <si>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</si>
  <si>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</si>
  <si>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</si>
  <si>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</si>
  <si>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</si>
  <si>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</si>
  <si>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</si>
  <si>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</si>
  <si>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</si>
  <si>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</si>
  <si>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</si>
  <si>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</si>
  <si>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</si>
  <si>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</si>
  <si>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</si>
  <si>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</si>
  <si>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</si>
  <si>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</si>
  <si>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</si>
  <si>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</si>
  <si>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</si>
  <si>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</si>
  <si>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</si>
  <si>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</si>
  <si>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</si>
  <si>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</si>
  <si>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</si>
  <si>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</si>
  <si>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</si>
  <si>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</si>
  <si>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</si>
  <si>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</si>
  <si>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</si>
  <si>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</si>
  <si>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</si>
  <si>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</si>
  <si>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</si>
  <si>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</si>
  <si>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</si>
  <si>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</si>
  <si>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</si>
  <si>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</si>
  <si>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</si>
  <si>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</si>
  <si>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</si>
  <si>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</si>
  <si>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</si>
  <si>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</si>
  <si>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</si>
  <si>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</si>
  <si>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</si>
  <si>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</si>
  <si>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</si>
  <si>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</si>
  <si>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</si>
  <si>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</si>
  <si>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</si>
  <si>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</si>
  <si>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</si>
  <si>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</si>
  <si>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</si>
  <si>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</si>
  <si>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</si>
  <si>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</si>
  <si>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</si>
  <si>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</si>
  <si>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</si>
  <si>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</si>
  <si>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</si>
  <si>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</si>
  <si>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</si>
  <si>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</si>
  <si>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</si>
  <si>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</si>
  <si>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</si>
  <si>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</si>
  <si>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</si>
  <si>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</si>
  <si>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</si>
  <si>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</si>
  <si>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</si>
  <si>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</si>
  <si>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</si>
  <si>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</si>
  <si>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</si>
  <si>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</si>
  <si>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</si>
  <si>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</si>
  <si>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</si>
  <si>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</si>
  <si>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</si>
  <si>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</si>
  <si>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</si>
  <si>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</si>
  <si>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</si>
  <si>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</si>
  <si>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</si>
  <si>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</si>
  <si>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</si>
  <si>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</si>
  <si>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</si>
  <si>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</si>
  <si>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</si>
  <si>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</si>
  <si>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</si>
  <si>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</si>
  <si>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</si>
  <si>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</si>
  <si>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</si>
  <si>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</si>
  <si>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</si>
  <si>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</si>
  <si>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</si>
  <si>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</si>
  <si>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</si>
  <si>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</si>
  <si>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</si>
  <si>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</si>
  <si>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</si>
  <si>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</si>
  <si>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</si>
  <si>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</si>
  <si>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</si>
  <si>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</si>
  <si>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</si>
  <si>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</si>
  <si>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</si>
  <si>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</si>
  <si>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</si>
  <si>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</si>
  <si>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</si>
  <si>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</si>
  <si>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</si>
  <si>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</si>
  <si>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</si>
  <si>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</si>
  <si>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</si>
  <si>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</si>
  <si>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</si>
  <si>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</si>
  <si>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</si>
  <si>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</si>
  <si>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</si>
  <si>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</si>
  <si>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</si>
  <si>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</si>
  <si>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</si>
  <si>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</si>
  <si>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</si>
  <si>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</si>
  <si>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</si>
  <si>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</si>
  <si>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</si>
  <si>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</si>
  <si>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</si>
  <si>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</si>
  <si>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</si>
  <si>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</si>
  <si>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</si>
  <si>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</si>
  <si>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</si>
  <si>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</si>
  <si>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</si>
  <si>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</si>
  <si>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</si>
  <si>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</si>
  <si>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</si>
  <si>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</si>
  <si>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</si>
  <si>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</si>
  <si>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</si>
  <si>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</si>
  <si>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</si>
  <si>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</si>
  <si>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</si>
  <si>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</si>
  <si>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</si>
  <si>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</si>
  <si>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</si>
  <si>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</si>
  <si>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</si>
  <si>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</si>
  <si>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</si>
  <si>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</si>
  <si>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</si>
  <si>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</si>
  <si>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</si>
  <si>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</si>
  <si>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</si>
  <si>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</si>
  <si>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</si>
  <si>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</si>
  <si>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</si>
  <si>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</si>
  <si>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</si>
  <si>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</si>
  <si>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</si>
  <si>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</si>
  <si>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</si>
  <si>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</si>
  <si>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</si>
  <si>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</si>
  <si>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</si>
  <si>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</si>
  <si>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</si>
  <si>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</si>
  <si>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</si>
  <si>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</si>
  <si>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</si>
  <si>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</si>
  <si>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</si>
  <si>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</si>
  <si>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</si>
  <si>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</si>
  <si>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</si>
  <si>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</si>
  <si>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</si>
  <si>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</si>
  <si>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</si>
  <si>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</si>
  <si>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</si>
  <si>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</si>
  <si>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</si>
  <si>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</si>
  <si>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</si>
  <si>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</si>
  <si>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</si>
  <si>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</si>
  <si>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</si>
  <si>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</si>
  <si>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</si>
  <si>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</si>
  <si>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</si>
  <si>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</si>
  <si>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</si>
  <si>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</si>
  <si>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</si>
  <si>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</si>
  <si>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</si>
  <si>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</si>
  <si>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</si>
  <si>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</si>
  <si>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</si>
  <si>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</si>
  <si>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</si>
  <si>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</si>
  <si>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</si>
  <si>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</si>
  <si>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</si>
  <si>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</si>
  <si>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</si>
  <si>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</si>
  <si>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</si>
  <si>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</si>
  <si>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</si>
  <si>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</si>
  <si>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</si>
  <si>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</si>
  <si>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</si>
  <si>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</si>
  <si>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</si>
  <si>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</si>
  <si>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</si>
  <si>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</si>
  <si>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</si>
  <si>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</si>
  <si>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</si>
  <si>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</si>
  <si>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</si>
  <si>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</si>
  <si>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</si>
  <si>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</si>
  <si>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</si>
  <si>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</si>
  <si>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</si>
  <si>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</si>
  <si>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</si>
  <si>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</si>
  <si>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</si>
  <si>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</si>
  <si>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</si>
  <si>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</si>
  <si>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</si>
  <si>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</si>
  <si>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</si>
  <si>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</si>
  <si>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</si>
  <si>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</si>
  <si>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</si>
  <si>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</si>
  <si>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</si>
  <si>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</si>
  <si>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</si>
  <si>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</si>
  <si>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</si>
  <si>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</si>
  <si>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</si>
  <si>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</si>
  <si>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</si>
  <si>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</si>
  <si>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</si>
  <si>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</si>
  <si>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</si>
  <si>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</si>
  <si>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</si>
  <si>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</si>
  <si>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</si>
  <si>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</si>
  <si>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</si>
  <si>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</si>
  <si>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</si>
  <si>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</si>
  <si>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</si>
  <si>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</si>
  <si>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</si>
  <si>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</si>
  <si>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</si>
  <si>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</si>
  <si>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</si>
  <si>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</si>
  <si>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</si>
  <si>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</si>
  <si>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</si>
  <si>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</si>
  <si>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</si>
  <si>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</si>
  <si>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</si>
  <si>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</si>
  <si>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</si>
  <si>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</si>
  <si>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</si>
  <si>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</si>
  <si>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</si>
  <si>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</si>
  <si>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</si>
  <si>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</si>
  <si>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</si>
  <si>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</si>
  <si>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</si>
  <si>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</si>
  <si>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</si>
  <si>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</si>
  <si>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</si>
  <si>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</si>
  <si>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</si>
  <si>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</si>
  <si>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</si>
  <si>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</si>
  <si>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</si>
  <si>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</si>
  <si>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</si>
  <si>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</si>
  <si>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</si>
  <si>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</si>
  <si>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</si>
  <si>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</si>
  <si>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</si>
  <si>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</si>
  <si>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</si>
  <si>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</si>
  <si>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</si>
  <si>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</si>
  <si>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</si>
  <si>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</si>
  <si>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</si>
  <si>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</si>
  <si>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</si>
  <si>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</si>
  <si>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</si>
  <si>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</si>
  <si>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</si>
  <si>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</si>
  <si>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</si>
  <si>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</si>
  <si>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</si>
  <si>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</si>
  <si>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</si>
  <si>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</si>
  <si>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</si>
  <si>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</si>
  <si>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</si>
  <si>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</si>
  <si>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</si>
  <si>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</si>
  <si>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</si>
  <si>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</si>
  <si>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</si>
  <si>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</si>
  <si>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</si>
  <si>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</si>
  <si>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</si>
  <si>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</si>
  <si>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</si>
  <si>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</si>
  <si>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</si>
  <si>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</si>
  <si>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</si>
  <si>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</si>
  <si>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</si>
  <si>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</si>
  <si>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</si>
  <si>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</si>
  <si>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</si>
  <si>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</si>
  <si>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</si>
  <si>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</si>
  <si>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</si>
  <si>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</si>
  <si>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</si>
  <si>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</si>
  <si>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</si>
  <si>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</si>
  <si>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</si>
  <si>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</si>
  <si>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</si>
  <si>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</si>
  <si>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</si>
  <si>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</si>
  <si>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</si>
  <si>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</si>
  <si>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</si>
  <si>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</si>
  <si>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</si>
  <si>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</si>
  <si>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</si>
  <si>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</si>
  <si>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</si>
  <si>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</si>
  <si>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</si>
  <si>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</si>
  <si>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</si>
  <si>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</si>
  <si>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</si>
  <si>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</si>
  <si>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</si>
  <si>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</si>
  <si>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</si>
  <si>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</si>
  <si>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</si>
  <si>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</si>
  <si>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</si>
  <si>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</si>
  <si>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</si>
  <si>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</si>
  <si>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</si>
  <si>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</si>
  <si>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</si>
  <si>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</si>
  <si>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</si>
  <si>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</si>
  <si>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</si>
  <si>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</si>
  <si>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</si>
  <si>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</si>
  <si>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</si>
  <si>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</si>
  <si>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</si>
  <si>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</si>
  <si>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</si>
  <si>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</si>
  <si>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</si>
  <si>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</si>
  <si>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</si>
  <si>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</si>
  <si>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</si>
  <si>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</si>
  <si>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</si>
  <si>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</si>
  <si>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</si>
  <si>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</si>
  <si>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</si>
  <si>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</si>
  <si>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</si>
  <si>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</si>
  <si>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</si>
  <si>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</si>
  <si>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</si>
  <si>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</si>
  <si>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</si>
  <si>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</si>
  <si>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</si>
  <si>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</si>
  <si>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</si>
  <si>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</si>
  <si>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</si>
  <si>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</si>
  <si>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</si>
  <si>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</si>
  <si>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</si>
  <si>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</si>
  <si>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</si>
  <si>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</si>
  <si>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</si>
  <si>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</si>
  <si>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</si>
  <si>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</si>
  <si>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</si>
  <si>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</si>
  <si>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</si>
  <si>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</si>
  <si>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</si>
  <si>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</si>
  <si>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</si>
  <si>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</si>
  <si>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</si>
  <si>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</si>
  <si>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</si>
  <si>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</si>
  <si>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</si>
  <si>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</si>
  <si>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</si>
  <si>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</si>
  <si>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</si>
  <si>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</si>
  <si>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</si>
  <si>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</si>
  <si>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</si>
  <si>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</si>
  <si>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</si>
  <si>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</si>
  <si>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</si>
  <si>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</si>
  <si>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</si>
  <si>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</si>
  <si>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</si>
  <si>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</si>
  <si>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</si>
  <si>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</si>
  <si>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</si>
  <si>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</si>
  <si>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</si>
  <si>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</si>
  <si>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</si>
  <si>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</si>
  <si>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</si>
  <si>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</si>
  <si>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</si>
  <si>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א. בהנחה שההלוואה צמודה, מה יהיה התשלום ה-1 לבנק אם המדד עלה בחודש הראשון ב-1.1%?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</si>
  <si>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</si>
  <si>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</si>
  <si>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</si>
  <si>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t xml:space="preserve">פתרון סעיף ג - 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</si>
  <si>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</si>
  <si>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</si>
  <si>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</si>
  <si>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</si>
  <si>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</si>
  <si>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</si>
  <si>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</si>
  <si>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</si>
  <si>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</si>
  <si>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</si>
  <si>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</si>
  <si>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</si>
  <si>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</si>
  <si>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</si>
  <si>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</si>
  <si>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</si>
  <si>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</si>
  <si>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</si>
  <si>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</si>
  <si>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</si>
  <si>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</si>
  <si>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</si>
  <si>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</si>
  <si>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</si>
  <si>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</si>
  <si>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</si>
  <si>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</si>
  <si>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</si>
  <si>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</si>
  <si>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</si>
  <si>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</si>
  <si>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</si>
  <si>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</si>
  <si>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</si>
  <si>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</si>
  <si>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</si>
  <si>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</si>
  <si>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</si>
  <si>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</si>
  <si>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</si>
  <si>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</si>
  <si>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</si>
  <si>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</si>
  <si>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</si>
  <si>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</si>
  <si>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</si>
  <si>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</si>
  <si>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</si>
  <si>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</si>
  <si>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</si>
  <si>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</si>
  <si>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</si>
  <si>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</si>
  <si>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</si>
  <si>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</si>
  <si>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</si>
  <si>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</si>
  <si>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</si>
  <si>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</si>
  <si>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</si>
  <si>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</si>
  <si>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</si>
  <si>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</si>
  <si>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</si>
  <si>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</si>
  <si>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</si>
  <si>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</si>
  <si>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</si>
  <si>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</si>
  <si>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ב. בהנחה שהבנק הציע לכם ריבית שנתית בשיעור 15%, האם הפרויקט המוצע כדאי? נמקו.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</si>
  <si>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</si>
  <si>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</si>
  <si>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</si>
  <si>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</si>
  <si>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</si>
  <si>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</si>
  <si>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</si>
  <si>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</si>
  <si>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</si>
  <si>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</si>
  <si>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</si>
  <si>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</si>
  <si>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</si>
  <si>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</si>
  <si>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</si>
  <si>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</si>
  <si>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</si>
  <si>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</si>
  <si>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</si>
  <si>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</si>
  <si>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</si>
  <si>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</si>
  <si>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</si>
  <si>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</si>
  <si>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</si>
  <si>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</si>
  <si>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</si>
  <si>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</si>
  <si>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</si>
  <si>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</si>
  <si>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</si>
  <si>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</si>
  <si>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t>שווי כספי נטו</t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</si>
  <si>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</si>
  <si>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</si>
  <si>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</si>
  <si>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</si>
  <si>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</si>
  <si>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</si>
  <si>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</si>
  <si>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</si>
  <si>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</si>
  <si>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</si>
  <si>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</si>
  <si>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</si>
  <si>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</si>
  <si>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</si>
  <si>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</si>
  <si>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</si>
  <si>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</si>
  <si>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</si>
  <si>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</si>
  <si>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</si>
  <si>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</si>
  <si>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</si>
  <si>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</si>
  <si>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</si>
  <si>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</si>
  <si>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</si>
  <si>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</si>
  <si>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</si>
  <si>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</si>
  <si>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</si>
  <si>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</si>
  <si>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</si>
  <si>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</si>
  <si>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</si>
  <si>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</si>
  <si>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</si>
  <si>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</si>
  <si>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</si>
  <si>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</si>
  <si>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</si>
  <si>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</si>
  <si>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</si>
  <si>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</si>
  <si>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</si>
  <si>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</si>
  <si>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</si>
  <si>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</si>
  <si>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</si>
  <si>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</si>
  <si>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</si>
  <si>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</si>
  <si>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</si>
  <si>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</si>
  <si>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</si>
  <si>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</si>
  <si>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</si>
  <si>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</si>
  <si>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</si>
  <si>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</si>
  <si>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</si>
  <si>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</si>
  <si>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</si>
  <si>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</si>
  <si>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</si>
  <si>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</si>
  <si>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</si>
  <si>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</si>
  <si>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</si>
  <si>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</si>
  <si>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</si>
  <si>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</si>
  <si>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</si>
  <si>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NPV = ענ״נ</t>
  </si>
  <si>
    <t>החסום התחתון לערך ה - NPV הוא</t>
  </si>
  <si>
    <t xml:space="preserve">מיוצג בנקודת החיתוך עם הציר </t>
  </si>
  <si>
    <t>מחיר ההון = rate</t>
  </si>
  <si>
    <t>המזומנים של הפרויקט.</t>
  </si>
  <si>
    <t>למשל בפרויקט A:</t>
  </si>
  <si>
    <t>-200 + 120 * 3 = 160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</si>
  <si>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</si>
  <si>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</si>
  <si>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</si>
  <si>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</si>
  <si>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</si>
  <si>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</si>
  <si>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</si>
  <si>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</si>
  <si>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</si>
  <si>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</si>
  <si>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</si>
  <si>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</si>
  <si>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</si>
  <si>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</si>
  <si>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</si>
  <si>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</si>
  <si>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</si>
  <si>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</si>
  <si>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</si>
  <si>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</si>
  <si>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</si>
  <si>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</si>
  <si>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</si>
  <si>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</si>
  <si>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</si>
  <si>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</si>
  <si>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>הוצאות</t>
  </si>
  <si>
    <t>X</t>
  </si>
  <si>
    <t>שלב 1:</t>
  </si>
  <si>
    <t>שלב 3: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</si>
  <si>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</si>
  <si>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</si>
  <si>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</si>
  <si>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</si>
  <si>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</si>
  <si>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</si>
  <si>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</si>
  <si>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</si>
  <si>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</si>
  <si>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</si>
  <si>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</si>
  <si>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</si>
  <si>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</si>
  <si>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</si>
  <si>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</si>
  <si>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</si>
  <si>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</si>
  <si>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</si>
  <si>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</si>
  <si>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</si>
  <si>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</si>
  <si>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</si>
  <si>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</si>
  <si>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</si>
  <si>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</si>
  <si>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</si>
  <si>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</si>
  <si>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</si>
  <si>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</si>
  <si>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</si>
  <si>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</si>
  <si>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</si>
  <si>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</si>
  <si>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</si>
  <si>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</si>
  <si>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</si>
  <si>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</si>
  <si>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</si>
  <si>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</si>
  <si>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</si>
  <si>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</si>
  <si>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</si>
  <si>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</si>
  <si>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</si>
  <si>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</si>
  <si>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</si>
  <si>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</si>
  <si>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</si>
  <si>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</si>
  <si>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</si>
  <si>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</si>
  <si>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</si>
  <si>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</si>
  <si>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</si>
  <si>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</si>
  <si>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</si>
  <si>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</si>
  <si>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</si>
  <si>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</si>
  <si>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</si>
  <si>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</si>
  <si>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</si>
  <si>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</si>
  <si>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</si>
  <si>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</si>
  <si>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</si>
  <si>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</si>
  <si>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</si>
  <si>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</si>
  <si>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</si>
  <si>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</si>
  <si>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</si>
  <si>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</si>
  <si>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</si>
  <si>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</si>
  <si>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</si>
  <si>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</si>
  <si>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</si>
  <si>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</si>
  <si>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</si>
  <si>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</si>
  <si>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</si>
  <si>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</si>
  <si>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</si>
  <si>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</si>
  <si>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</si>
  <si>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</si>
  <si>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</si>
  <si>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</si>
  <si>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</si>
  <si>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חלופה 4: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</si>
  <si>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</si>
  <si>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</si>
  <si>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</si>
  <si>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</si>
  <si>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</si>
  <si>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</si>
  <si>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</si>
  <si>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</si>
  <si>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</si>
  <si>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</si>
  <si>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</si>
  <si>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</si>
  <si>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</si>
  <si>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</si>
  <si>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</si>
  <si>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</si>
  <si>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</si>
  <si>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</si>
  <si>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</si>
  <si>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</si>
  <si>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</si>
  <si>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</si>
  <si>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</si>
  <si>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</si>
  <si>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</si>
  <si>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</si>
  <si>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</si>
  <si>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</si>
  <si>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</si>
  <si>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</si>
  <si>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</si>
  <si>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</si>
  <si>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</si>
  <si>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</si>
  <si>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</si>
  <si>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</si>
  <si>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</si>
  <si>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</si>
  <si>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מחיר הון - היגד 2</t>
  </si>
  <si>
    <t>מחיר הון - היגד 3</t>
  </si>
  <si>
    <t>ערך NPV היגד 2</t>
  </si>
  <si>
    <t>ערך NPV היגד 3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</si>
  <si>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</si>
  <si>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</si>
  <si>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</si>
  <si>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</si>
  <si>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</si>
  <si>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</si>
  <si>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</si>
  <si>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</si>
  <si>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</si>
  <si>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</si>
  <si>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</si>
  <si>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</si>
  <si>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</si>
  <si>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</si>
  <si>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</si>
  <si>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</si>
  <si>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 xml:space="preserve">להלן תוצג מערכת צירים אשר צירה האנכי הוא ה - NPV (השווי) ואשר צירה האופקי הוא מחיר ההון (rate). </t>
  </si>
  <si>
    <t>מעבר לכך, לעקום יש נקודות חיתוך עם הצירים, אשר יאופיינו בהרחבה להלן: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</si>
  <si>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</si>
  <si>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</si>
  <si>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</si>
  <si>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</si>
  <si>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</si>
  <si>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</si>
  <si>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</si>
  <si>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</si>
  <si>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</si>
  <si>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</si>
  <si>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</si>
  <si>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</si>
  <si>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</si>
  <si>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</si>
  <si>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</si>
  <si>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</si>
  <si>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</si>
  <si>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</si>
  <si>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</si>
  <si>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</si>
  <si>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</si>
  <si>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</si>
  <si>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</si>
  <si>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</si>
  <si>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</si>
  <si>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</si>
  <si>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</si>
  <si>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</si>
  <si>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</si>
  <si>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</si>
  <si>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</si>
  <si>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</si>
  <si>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</si>
  <si>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</si>
  <si>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</si>
  <si>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שאלה 6 - הצגה סכמטית של עקום הענ״נ NPV והקשר שלו למחיר ההון + הנקודות עליו</t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</si>
  <si>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</si>
  <si>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</si>
  <si>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</si>
  <si>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</si>
  <si>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</si>
  <si>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</si>
  <si>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</si>
  <si>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</si>
  <si>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</si>
  <si>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</si>
  <si>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</si>
  <si>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</si>
  <si>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</si>
  <si>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</si>
  <si>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</si>
  <si>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</si>
  <si>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</si>
  <si>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</si>
  <si>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</si>
  <si>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</si>
  <si>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</si>
  <si>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</si>
  <si>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</si>
  <si>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</si>
  <si>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</si>
  <si>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</si>
  <si>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</si>
  <si>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</si>
  <si>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</si>
  <si>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</si>
  <si>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</si>
  <si>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</si>
  <si>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</si>
  <si>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</si>
  <si>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</si>
  <si>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</si>
  <si>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</si>
  <si>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</si>
  <si>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</si>
  <si>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</si>
  <si>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</si>
  <si>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</si>
  <si>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</si>
  <si>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</si>
  <si>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</si>
  <si>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</si>
  <si>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</si>
  <si>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</si>
  <si>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</si>
  <si>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</si>
  <si>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</si>
  <si>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</si>
  <si>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</si>
  <si>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</si>
  <si>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</si>
  <si>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</si>
  <si>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</si>
  <si>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</si>
  <si>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</si>
  <si>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</si>
  <si>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</si>
  <si>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</si>
  <si>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</si>
  <si>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</si>
  <si>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</si>
  <si>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</si>
  <si>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</si>
  <si>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</si>
  <si>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</si>
  <si>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</si>
  <si>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</si>
  <si>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</si>
  <si>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</si>
  <si>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</si>
  <si>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</si>
  <si>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</si>
  <si>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</si>
  <si>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</si>
  <si>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</si>
  <si>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</si>
  <si>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</si>
  <si>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</si>
  <si>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</si>
  <si>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</si>
  <si>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</si>
  <si>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</si>
  <si>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</si>
  <si>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</si>
  <si>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</si>
  <si>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</si>
  <si>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</si>
  <si>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</si>
  <si>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</si>
  <si>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</si>
  <si>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</si>
  <si>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</si>
  <si>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</si>
  <si>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</si>
  <si>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</si>
  <si>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</si>
  <si>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</si>
  <si>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</si>
  <si>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</si>
  <si>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</si>
  <si>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</si>
  <si>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</si>
  <si>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</si>
  <si>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</si>
  <si>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</si>
  <si>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</si>
  <si>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</si>
  <si>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</si>
  <si>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</si>
  <si>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</si>
  <si>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</si>
  <si>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</si>
  <si>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</si>
  <si>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</si>
  <si>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</si>
  <si>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</si>
  <si>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</si>
  <si>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</si>
  <si>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</si>
  <si>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</si>
  <si>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</si>
  <si>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</si>
  <si>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</si>
  <si>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</si>
  <si>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</si>
  <si>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</si>
  <si>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</si>
  <si>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</si>
  <si>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</si>
  <si>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</si>
  <si>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</si>
  <si>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</si>
  <si>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</si>
  <si>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</si>
  <si>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</si>
  <si>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</si>
  <si>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</si>
  <si>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</si>
  <si>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</si>
  <si>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</si>
  <si>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</si>
  <si>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</si>
  <si>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</si>
  <si>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</si>
  <si>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</si>
  <si>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</si>
  <si>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</si>
  <si>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</si>
  <si>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</si>
  <si>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</si>
  <si>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</si>
  <si>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</si>
  <si>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</si>
  <si>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</si>
  <si>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</si>
  <si>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</si>
  <si>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</si>
  <si>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</si>
  <si>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</si>
  <si>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</si>
  <si>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</si>
  <si>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</si>
  <si>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</si>
  <si>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</si>
  <si>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</si>
  <si>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</si>
  <si>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</si>
  <si>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</si>
  <si>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</si>
  <si>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</si>
  <si>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</si>
  <si>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</si>
  <si>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</si>
  <si>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</si>
  <si>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</si>
  <si>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</si>
  <si>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</si>
  <si>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</si>
  <si>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</si>
  <si>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</si>
  <si>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</si>
  <si>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</si>
  <si>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</si>
  <si>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</si>
  <si>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</si>
  <si>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</si>
  <si>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</si>
  <si>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</si>
  <si>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</si>
  <si>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</si>
  <si>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</si>
  <si>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</si>
  <si>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</si>
  <si>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</si>
  <si>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</si>
  <si>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</si>
  <si>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</si>
  <si>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</si>
  <si>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</si>
  <si>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</si>
  <si>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</si>
  <si>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</si>
  <si>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</si>
  <si>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</si>
  <si>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</si>
  <si>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</si>
  <si>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</si>
  <si>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</si>
  <si>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</si>
  <si>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</si>
  <si>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</si>
  <si>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</si>
  <si>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</si>
  <si>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</si>
  <si>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</si>
  <si>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</si>
  <si>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</si>
  <si>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</si>
  <si>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</si>
  <si>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</si>
  <si>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</si>
  <si>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</si>
  <si>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</si>
  <si>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</si>
  <si>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</si>
  <si>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</si>
  <si>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</si>
  <si>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</si>
  <si>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</si>
  <si>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</si>
  <si>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</si>
  <si>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</si>
  <si>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</si>
  <si>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</si>
  <si>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</si>
  <si>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</si>
  <si>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</si>
  <si>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</si>
  <si>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</si>
  <si>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</si>
  <si>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</si>
  <si>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</si>
  <si>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</si>
  <si>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</si>
  <si>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</si>
  <si>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</si>
  <si>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</si>
  <si>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</si>
  <si>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</si>
  <si>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</si>
  <si>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</si>
  <si>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</si>
  <si>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</si>
  <si>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</si>
  <si>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</si>
  <si>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</si>
  <si>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</si>
  <si>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</si>
  <si>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</si>
  <si>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</si>
  <si>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</si>
  <si>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</si>
  <si>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</si>
  <si>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</si>
  <si>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</si>
  <si>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</si>
  <si>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</si>
  <si>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</si>
  <si>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</si>
  <si>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</si>
  <si>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</si>
  <si>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</si>
  <si>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</si>
  <si>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</si>
  <si>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</si>
  <si>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</si>
  <si>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</si>
  <si>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</si>
  <si>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</si>
  <si>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</si>
  <si>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</si>
  <si>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</si>
  <si>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</si>
  <si>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</si>
  <si>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</si>
  <si>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</si>
  <si>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</si>
  <si>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</si>
  <si>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</si>
  <si>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</si>
  <si>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</si>
  <si>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</si>
  <si>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</si>
  <si>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</si>
  <si>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</si>
  <si>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</si>
  <si>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</si>
  <si>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</si>
  <si>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</si>
  <si>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</si>
  <si>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</si>
  <si>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</si>
  <si>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</si>
  <si>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</si>
  <si>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</si>
  <si>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</si>
  <si>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</si>
  <si>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</si>
  <si>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</si>
  <si>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</si>
  <si>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</si>
  <si>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</si>
  <si>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</si>
  <si>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</si>
  <si>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</si>
  <si>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</si>
  <si>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</si>
  <si>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</si>
  <si>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</si>
  <si>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</si>
  <si>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</si>
  <si>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</si>
  <si>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</si>
  <si>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</si>
  <si>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</si>
  <si>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</si>
  <si>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</si>
  <si>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</si>
  <si>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</si>
  <si>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</si>
  <si>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</si>
  <si>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</si>
  <si>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</si>
  <si>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</si>
  <si>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</si>
  <si>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</si>
  <si>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</si>
  <si>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</si>
  <si>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</si>
  <si>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</si>
  <si>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</si>
  <si>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</si>
  <si>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</si>
  <si>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</si>
  <si>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</si>
  <si>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</si>
  <si>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</si>
  <si>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</si>
  <si>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</si>
  <si>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</si>
  <si>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</si>
  <si>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</si>
  <si>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</si>
  <si>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</si>
  <si>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</si>
  <si>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</si>
  <si>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</si>
  <si>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</si>
  <si>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</si>
  <si>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</si>
  <si>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</si>
  <si>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</si>
  <si>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</si>
  <si>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</si>
  <si>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</si>
  <si>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</si>
  <si>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</si>
  <si>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</si>
  <si>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</si>
  <si>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</si>
  <si>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</si>
  <si>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</si>
  <si>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</si>
  <si>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</si>
  <si>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</si>
  <si>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</si>
  <si>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</si>
  <si>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</si>
  <si>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</si>
  <si>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</si>
  <si>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</si>
  <si>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</si>
  <si>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</si>
  <si>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</si>
  <si>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</si>
  <si>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</si>
  <si>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</si>
  <si>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</si>
  <si>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</si>
  <si>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</si>
  <si>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</si>
  <si>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</si>
  <si>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</si>
  <si>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</si>
  <si>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</si>
  <si>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</si>
  <si>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</si>
  <si>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</si>
  <si>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</si>
  <si>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</si>
  <si>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</si>
  <si>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</si>
  <si>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</si>
  <si>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</si>
  <si>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</si>
  <si>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</si>
  <si>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</si>
  <si>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</si>
  <si>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</si>
  <si>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</si>
  <si>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</si>
  <si>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</si>
  <si>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</si>
  <si>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</si>
  <si>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</si>
  <si>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</si>
  <si>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</si>
  <si>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</si>
  <si>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</si>
  <si>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</si>
  <si>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</si>
  <si>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</si>
  <si>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</si>
  <si>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</si>
  <si>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</si>
  <si>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</si>
  <si>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</si>
  <si>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</si>
  <si>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</si>
  <si>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</si>
  <si>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</si>
  <si>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</si>
  <si>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</si>
  <si>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</si>
  <si>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</si>
  <si>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</si>
  <si>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</si>
  <si>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</si>
  <si>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</si>
  <si>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</si>
  <si>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</si>
  <si>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</si>
  <si>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</si>
  <si>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</si>
  <si>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</si>
  <si>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</si>
  <si>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</si>
  <si>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</si>
  <si>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</si>
  <si>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</si>
  <si>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</si>
  <si>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</si>
  <si>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</si>
  <si>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</si>
  <si>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</si>
  <si>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</si>
  <si>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</si>
  <si>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</si>
  <si>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</si>
  <si>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</si>
  <si>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</si>
  <si>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</si>
  <si>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</si>
  <si>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</si>
  <si>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</si>
  <si>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</si>
  <si>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</si>
  <si>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</si>
  <si>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</si>
  <si>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</si>
  <si>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</si>
  <si>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</si>
  <si>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</si>
  <si>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</si>
  <si>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</si>
  <si>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</si>
  <si>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</si>
  <si>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</si>
  <si>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</si>
  <si>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</si>
  <si>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</si>
  <si>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</si>
  <si>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</si>
  <si>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</si>
  <si>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</si>
  <si>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</si>
  <si>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</si>
  <si>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</si>
  <si>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</si>
  <si>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</si>
  <si>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</si>
  <si>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</si>
  <si>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</si>
  <si>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</si>
  <si>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</si>
  <si>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</si>
  <si>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</si>
  <si>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</si>
  <si>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</si>
  <si>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</si>
  <si>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</si>
  <si>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</si>
  <si>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</si>
  <si>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</si>
  <si>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</si>
  <si>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</si>
  <si>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</si>
  <si>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</si>
  <si>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</si>
  <si>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</si>
  <si>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</si>
  <si>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</si>
  <si>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</si>
  <si>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</si>
  <si>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</si>
  <si>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</si>
  <si>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</si>
  <si>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</si>
  <si>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</si>
  <si>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</si>
  <si>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</si>
  <si>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</si>
  <si>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</si>
  <si>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</si>
  <si>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</si>
  <si>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</si>
  <si>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</si>
  <si>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</si>
  <si>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</si>
  <si>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</si>
  <si>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</si>
  <si>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</si>
  <si>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</si>
  <si>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</si>
  <si>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</si>
  <si>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</si>
  <si>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</si>
  <si>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</si>
  <si>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</si>
  <si>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</si>
  <si>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</si>
  <si>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</si>
  <si>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</si>
  <si>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</si>
  <si>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</si>
  <si>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</si>
  <si>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</si>
  <si>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</si>
  <si>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</si>
  <si>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</si>
  <si>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</si>
  <si>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</si>
  <si>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</si>
  <si>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</si>
  <si>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</si>
  <si>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</si>
  <si>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</si>
  <si>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</si>
  <si>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</si>
  <si>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</si>
  <si>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</si>
  <si>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</si>
  <si>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</si>
  <si>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</si>
  <si>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</si>
  <si>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</si>
  <si>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</si>
  <si>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</si>
  <si>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</si>
  <si>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</si>
  <si>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</si>
  <si>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</si>
  <si>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</si>
  <si>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</si>
  <si>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</si>
  <si>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</si>
  <si>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</si>
  <si>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</si>
  <si>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</si>
  <si>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</si>
  <si>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</si>
  <si>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</si>
  <si>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</si>
  <si>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</si>
  <si>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</si>
  <si>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</si>
  <si>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</si>
  <si>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</si>
  <si>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</si>
  <si>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</si>
  <si>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</si>
  <si>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</si>
  <si>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</si>
  <si>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</si>
  <si>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</si>
  <si>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</si>
  <si>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</si>
  <si>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</si>
  <si>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</si>
  <si>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</si>
  <si>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</si>
  <si>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</si>
  <si>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</si>
  <si>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</si>
  <si>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</si>
  <si>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</si>
  <si>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</si>
  <si>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</si>
  <si>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</si>
  <si>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</si>
  <si>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</si>
  <si>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</si>
  <si>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</si>
  <si>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</si>
  <si>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</si>
  <si>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</si>
  <si>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</si>
  <si>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</si>
  <si>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</si>
  <si>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</si>
  <si>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</si>
  <si>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</si>
  <si>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</si>
  <si>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</si>
  <si>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</si>
  <si>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</si>
  <si>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</si>
  <si>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</si>
  <si>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</si>
  <si>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</si>
  <si>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</si>
  <si>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</si>
  <si>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</si>
  <si>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</si>
  <si>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</si>
  <si>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</si>
  <si>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</si>
  <si>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</si>
  <si>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</si>
  <si>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</si>
  <si>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</si>
  <si>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</si>
  <si>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</si>
  <si>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</si>
  <si>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</si>
  <si>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</si>
  <si>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</si>
  <si>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</si>
  <si>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</si>
  <si>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</si>
  <si>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</si>
  <si>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</si>
  <si>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</si>
  <si>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</si>
  <si>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</si>
  <si>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</si>
  <si>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</si>
  <si>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</si>
  <si>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</si>
  <si>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</si>
  <si>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</si>
  <si>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</si>
  <si>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</si>
  <si>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</si>
  <si>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</si>
  <si>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</si>
  <si>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</si>
  <si>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</si>
  <si>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</si>
  <si>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</si>
  <si>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</si>
  <si>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</si>
  <si>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</si>
  <si>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</si>
  <si>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</si>
  <si>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</si>
  <si>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</si>
  <si>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</si>
  <si>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</si>
  <si>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</si>
  <si>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</si>
  <si>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</si>
  <si>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</si>
  <si>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</si>
  <si>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</si>
  <si>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</si>
  <si>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</si>
  <si>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</si>
  <si>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</si>
  <si>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</si>
  <si>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</si>
  <si>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</si>
  <si>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</si>
  <si>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</si>
  <si>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</si>
  <si>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</si>
  <si>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</si>
  <si>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</si>
  <si>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</si>
  <si>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</si>
  <si>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</si>
  <si>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</si>
  <si>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</si>
  <si>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</si>
  <si>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</si>
  <si>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</si>
  <si>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</si>
  <si>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</si>
  <si>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</si>
  <si>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</si>
  <si>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</si>
  <si>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</si>
  <si>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</si>
  <si>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</si>
  <si>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</si>
  <si>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</si>
  <si>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</si>
  <si>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</si>
  <si>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</si>
  <si>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</si>
  <si>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</si>
  <si>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</si>
  <si>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</si>
  <si>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</si>
  <si>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</si>
  <si>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</si>
  <si>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</si>
  <si>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</si>
  <si>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</si>
  <si>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</si>
  <si>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</si>
  <si>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</si>
  <si>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</si>
  <si>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</si>
  <si>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</si>
  <si>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</si>
  <si>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</si>
  <si>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</si>
  <si>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</si>
  <si>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</si>
  <si>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</si>
  <si>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</si>
  <si>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</si>
  <si>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</si>
  <si>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</si>
  <si>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</si>
  <si>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</si>
  <si>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</si>
  <si>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</si>
  <si>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</si>
  <si>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</si>
  <si>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</si>
  <si>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</si>
  <si>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</si>
  <si>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</si>
  <si>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</si>
  <si>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</si>
  <si>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</si>
  <si>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</si>
  <si>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</si>
  <si>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</si>
  <si>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</si>
  <si>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</si>
  <si>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</si>
  <si>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</si>
  <si>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</si>
  <si>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</si>
  <si>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</si>
  <si>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</si>
  <si>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</si>
  <si>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</si>
  <si>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</si>
  <si>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</si>
  <si>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</si>
  <si>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</si>
  <si>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</si>
  <si>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</si>
  <si>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</si>
  <si>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</si>
  <si>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</si>
  <si>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</si>
  <si>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</si>
  <si>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</si>
  <si>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</si>
  <si>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</si>
  <si>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</si>
  <si>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</si>
  <si>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</si>
  <si>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</si>
  <si>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</si>
  <si>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</si>
  <si>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</si>
  <si>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</si>
  <si>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</si>
  <si>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</si>
  <si>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</si>
  <si>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</si>
  <si>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</si>
  <si>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</si>
  <si>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</si>
  <si>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</si>
  <si>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</si>
  <si>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</si>
  <si>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</si>
  <si>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</si>
  <si>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</si>
  <si>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</si>
  <si>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</si>
  <si>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</si>
  <si>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</si>
  <si>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</si>
  <si>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</si>
  <si>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</si>
  <si>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</si>
  <si>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</si>
  <si>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</si>
  <si>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</si>
  <si>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</si>
  <si>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</si>
  <si>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</si>
  <si>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</si>
  <si>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</si>
  <si>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</si>
  <si>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</si>
  <si>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</si>
  <si>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</si>
  <si>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</si>
  <si>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</si>
  <si>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</si>
  <si>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</si>
  <si>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</si>
  <si>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</si>
  <si>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</si>
  <si>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</si>
  <si>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</si>
  <si>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</si>
  <si>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</si>
  <si>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</si>
  <si>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</si>
  <si>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</si>
  <si>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</si>
  <si>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</si>
  <si>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</si>
  <si>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</si>
  <si>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</si>
  <si>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</si>
  <si>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</si>
  <si>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</si>
  <si>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</si>
  <si>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</si>
  <si>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</si>
  <si>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</si>
  <si>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</si>
  <si>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</si>
  <si>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</si>
  <si>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</si>
  <si>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</si>
  <si>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</si>
  <si>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</si>
  <si>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</si>
  <si>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</si>
  <si>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</si>
  <si>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</si>
  <si>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</si>
  <si>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</si>
  <si>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</si>
  <si>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</si>
  <si>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</si>
  <si>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</si>
  <si>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</si>
  <si>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</si>
  <si>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</si>
  <si>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</si>
  <si>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</si>
  <si>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</si>
  <si>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</si>
  <si>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</si>
  <si>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</si>
  <si>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</si>
  <si>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</si>
  <si>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</si>
  <si>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</si>
  <si>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</si>
  <si>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</si>
  <si>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</si>
  <si>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</si>
  <si>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</si>
  <si>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</si>
  <si>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</si>
  <si>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</si>
  <si>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</si>
  <si>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</si>
  <si>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</si>
  <si>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</si>
  <si>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</si>
  <si>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</si>
  <si>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</si>
  <si>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</si>
  <si>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</si>
  <si>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</si>
  <si>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</si>
  <si>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</si>
  <si>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</si>
  <si>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</si>
  <si>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</si>
  <si>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</si>
  <si>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</si>
  <si>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</si>
  <si>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</si>
  <si>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</si>
  <si>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</si>
  <si>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</si>
  <si>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</si>
  <si>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</si>
  <si>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</si>
  <si>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</si>
  <si>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</si>
  <si>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</si>
  <si>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</si>
  <si>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</si>
  <si>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</si>
  <si>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</si>
  <si>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</si>
  <si>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</si>
  <si>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</si>
  <si>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</si>
  <si>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</si>
  <si>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</si>
  <si>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</si>
  <si>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</si>
  <si>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</si>
  <si>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</si>
  <si>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</si>
  <si>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</si>
  <si>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</si>
  <si>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</si>
  <si>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</si>
  <si>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</si>
  <si>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</si>
  <si>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</si>
  <si>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</si>
  <si>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</si>
  <si>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</si>
  <si>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</si>
  <si>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</si>
  <si>
    <t>הרצאה 8 - 28.5.2024 - חישובי הלוואות - המשך, טריקים והתחלת הצמדות</t>
  </si>
  <si>
    <t xml:space="preserve">הלוואה הנפרעת בתשלומים שווים = שפיצר. </t>
  </si>
  <si>
    <t xml:space="preserve">קומבינה מעוניינץ ליטול הלוואה בסך 100,000 ש״ח הנפרעת ב-10 תשלומי קרן שנתיים שווים. הריבית השנתית היא 7%. </t>
  </si>
  <si>
    <t>מס׳ תשלומים כולל</t>
  </si>
  <si>
    <t>המועד עליו שואלים</t>
  </si>
  <si>
    <t>כי רוצים לתקופה קודמת</t>
  </si>
  <si>
    <r>
      <t>PMT(9) = 210,202/55*(55-4+1)</t>
    </r>
    <r>
      <rPr>
        <sz val="11"/>
        <color rgb="FFFF0000"/>
        <rFont val="David"/>
        <family val="2"/>
        <charset val="177"/>
      </rPr>
      <t>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</si>
  <si>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כאן: בזמן 7</t>
  </si>
  <si>
    <t>BAL6 * r = INT7</t>
  </si>
  <si>
    <t>באמצעות PV על תקופת הדחייה</t>
  </si>
  <si>
    <t xml:space="preserve">שאלה 6 - חילוצים מהלוואות עם גרייס - הדגמה נוספת									</t>
  </si>
  <si>
    <t xml:space="preserve">מספר התשלומים הכולל בהלוואה: 32. </t>
  </si>
  <si>
    <t xml:space="preserve">הריבית השנתית האפקטיבית 12%, ותשלום הריבית שיבוצע במסגרת ההחזר הראשון הוא בסך 8,000 ש״ח. </t>
  </si>
  <si>
    <t>נדרש: מהו סכום ההלוואה המקורי אותו נטלה פוקינדה?</t>
  </si>
  <si>
    <t xml:space="preserve">פוקינדה נטלה הלוואה שתפרע בתשלומים רבעוניים שווים, כאשר התשלום הראשון יבוצע בחלוף שנה וחצי. </t>
  </si>
  <si>
    <t xml:space="preserve">זיהוי השאלה: לוח שפיצר עם גרייס (תשלומים שווים, תשלום ראשון מאוחר בעתיד). </t>
  </si>
  <si>
    <t xml:space="preserve">היישום הנדרש - חילוץ סכום ההלוואה, שהוא בעצם PV לזמן 0. </t>
  </si>
  <si>
    <t>נחשב תחילה ריבית אפקטיבית רבעונית, כיאה לפרק הזמן בין תשלומים - לרבעון.</t>
  </si>
  <si>
    <t>הואיל ובשונה מדוגמאות קודמות הריבית אפקטיבית ולא נקובה, ההמרה תתבצע עם מעריך חזקה מתאים ולא עם חלוקה פשוטה.</t>
  </si>
  <si>
    <t xml:space="preserve">התשלום הראשון בעוד שנה וחצי, כלומר במונחי רבעונים התשלום הוא בזמן 6. </t>
  </si>
  <si>
    <t>נתייחס לסכום זה כאל FV שיתואם 5 תקופות נוספות לאחור באמצעות PV וזה יהיה סכום ההלוואה המקורי בזמן 0:</t>
  </si>
  <si>
    <t xml:space="preserve">מסקנה: סכום ההלוואה המקורי הוא 241,613 ש״ח. </t>
  </si>
  <si>
    <t>הרצאה 9 - 4.6.2025 - הצמדות ואינפלציה</t>
  </si>
  <si>
    <t>שאלה 1 - חישוב האינפלציה - כאשר נתונה על פי מדד ולא בערך אחוזי</t>
  </si>
  <si>
    <t xml:space="preserve">(1+20%) = </t>
  </si>
  <si>
    <t xml:space="preserve">(1-8.33%) = </t>
  </si>
  <si>
    <t xml:space="preserve">(1+20%)*(1-8.33%)*(1+10%)*(1+0%) - 1 = </t>
  </si>
  <si>
    <t>שאלה 2 - הצמדה למדד - חישוב פיננסי</t>
  </si>
  <si>
    <t>קרן</t>
  </si>
  <si>
    <t>בתוספת ריבית (לפני הצמדה)</t>
  </si>
  <si>
    <t>היחס בין המדד העדכני, במועד החישוב (סוף השנה) - 105.7 נתון</t>
  </si>
  <si>
    <t>לבין המדד המקורי במועד העמדת ההלוואה - 103.1</t>
  </si>
  <si>
    <t>האינפלציה היא היחס בין המדד העדכני</t>
  </si>
  <si>
    <t>לתום השנה כאן 105.7</t>
  </si>
  <si>
    <t>כל זה פחות 1</t>
  </si>
  <si>
    <t>לבין מדד הבסיס במועד נטילת ההלואה 103.1</t>
  </si>
  <si>
    <t>ב. חישוב סכום להחזר לפני הצמדה = ריאלי:</t>
  </si>
  <si>
    <t>הסכום הריאלי הוא: ״כמה הייתי מחזיר</t>
  </si>
  <si>
    <t>אם לא היתה אינפלציה״</t>
  </si>
  <si>
    <t>ובעצם במצב כזה ההחזר הוא הקרן + ריבית בלבד</t>
  </si>
  <si>
    <t>ההחזר הכולל: סכום ריאלי כפול 1 ועוד אינפלציה</t>
  </si>
  <si>
    <t>הריבית שהבנק מוכן לשלם במסלול הצמוד:</t>
  </si>
  <si>
    <t>הריבית שהבנק מוכן לשלם במסלול הלא-צמוד:</t>
  </si>
  <si>
    <t>הנחת ברירת מחדל: הצעות הבנק שקולות</t>
  </si>
  <si>
    <t>מבחינתו, כלומר מגלמות ריביות זהות.</t>
  </si>
  <si>
    <t>כאשר גורם מסוים (למשל, בנק) מציע 2 הצעות</t>
  </si>
  <si>
    <t>אלטרנטיביות, ברירת המחדל היא: הריבית</t>
  </si>
  <si>
    <t>הריאלית והנומינלית בהצעות השונות זהה.</t>
  </si>
  <si>
    <t xml:space="preserve">ככלל: לא באמת ניתן לנצח את הבנק לאורך זמן - כי הוא בונה את החלופות באופן שייצר שקילות ביניהן. </t>
  </si>
  <si>
    <t xml:space="preserve">יחד עם זאת - אם אני מומחה ריביות, ואני חושב שאני יודע יותר טוב מהבנק - </t>
  </si>
  <si>
    <t xml:space="preserve">אם אני מאמין שהאינפלציה בפועל (כי כאן זה רק צפי) תהיה גבוהה יותר מ-3.92% - אעדיף מסלול צמוד המעניק לי גם את עליית המדד. </t>
  </si>
  <si>
    <t xml:space="preserve">אם אני מאמין שהאינפלציה בפועל תהיה נמוכה יותר - אעדיף מסלול לא צמוד, שמבטיח 6% נומינלי בכל מקרה. </t>
  </si>
  <si>
    <t>שאלה 5 - לוחות סילוקין והצמדה - Shpizer</t>
  </si>
  <si>
    <t>סכום חודשי כולל לתשלום (PMT ריאליתוס, לפני הצמדה):</t>
  </si>
  <si>
    <t xml:space="preserve">שיעור האינפלציה בחודש הראשון שנתון בשאלה.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</si>
  <si>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שאלו מה התשלום ה-5 הכולל (PMT בזמן 5), אחרי הצמדה, בהנחה שהמדד עלה ממועד נטילת ההלוואה מ-110 ל-114.4 (נתון):</t>
    </r>
  </si>
  <si>
    <t xml:space="preserve">3,597.89 * (114.4/110) = </t>
  </si>
  <si>
    <t>מדד עדכני בתום חודש 5</t>
  </si>
  <si>
    <t>במועד נטילת ההלוואה</t>
  </si>
  <si>
    <t>פחות 1 אם המטרה היא</t>
  </si>
  <si>
    <t>להגיע רק לשינוי (האינפלציה)</t>
  </si>
  <si>
    <t xml:space="preserve">בהלוואת שפיצר שיש בה 30 תשלומים, הנושאת ריבית תקופתית של 0.5%, וצמודה למדד - </t>
  </si>
  <si>
    <r>
      <t xml:space="preserve">מהי </t>
    </r>
    <r>
      <rPr>
        <b/>
        <sz val="11"/>
        <color theme="1"/>
        <rFont val="David"/>
        <family val="2"/>
        <charset val="177"/>
      </rPr>
      <t>יתרת החוב</t>
    </r>
    <r>
      <rPr>
        <sz val="11"/>
        <color theme="1"/>
        <rFont val="David"/>
        <family val="2"/>
        <charset val="177"/>
      </rPr>
      <t xml:space="preserve"> (כולל הצמדה) לאחר התשלום ה-5, אם ידוע שהמדד העדכני במועד זה הוא 114.4, </t>
    </r>
  </si>
  <si>
    <t>ככלל: חישוב יתרה בעסקה צמודה &gt;&gt;&gt; נחשב יתרה לפני הצמדה &gt;&gt;&gt; נכפול ביחס המדדים (או באחת ועוד אינפלציה באחוזים)</t>
  </si>
  <si>
    <t>למרות שבסעיפים קודמים פתרנו חלק, נעבוד כאן מאפס שיהיה לכם קל לעקוב:</t>
  </si>
  <si>
    <t>חילוץ PMT
לפני הצמדה</t>
  </si>
  <si>
    <t>חישוב יתרה
לזמן 5
לפני הצמדה</t>
  </si>
  <si>
    <t xml:space="preserve"> * 114.4/110 = </t>
  </si>
  <si>
    <t>מכפלה ביחס
המדדים</t>
  </si>
  <si>
    <t>תשובה
סופית</t>
  </si>
  <si>
    <t xml:space="preserve">והמדד ההיסטורי (במועד נטילת ההלוואה) היה 110. סכום ההלוואה 100,000. </t>
  </si>
  <si>
    <t>סיכום תהליכי העבודה שהוצגו בכל התרגילים בינתיים, לחובבי הז׳אנר:</t>
  </si>
  <si>
    <t xml:space="preserve">א. אם ידועים ערכי המדד באופן רציף על פני זמן - היחס בין כל שני מדדים עוקבים פחות אחת, זו האינפלציה לתקופה. </t>
  </si>
  <si>
    <t>שאלה מקבילה לעיל</t>
  </si>
  <si>
    <t>ב. אם רוצים את המדד הכולל לאחר כל התקופות הרציפות - אפשר:</t>
  </si>
  <si>
    <t>ב.1. לחשב כל אינפלציה לתקופה (כמו ב-א), פלוס אחת, ואז לכפול בין הערכים ולנכות 1 בסוף; או</t>
  </si>
  <si>
    <t>ב.2. פשוט לכפול את היחס בין המדד הסופי (לסוף כל התקופות) חלקי המדד ההתחלתי, כל זה פחות 1</t>
  </si>
  <si>
    <t>ג. בעסקה צמודה - חישוב סכום כולל לתשלום / לקבל אחרי הצמדה, הוא לפי:</t>
  </si>
  <si>
    <t>ב.1 הסכום הבסיסי כפול אחת ועוד אינפלציה באחוזים לכל התקופה; או</t>
  </si>
  <si>
    <t>ב.2 הסכום הבסיסי (לפני הצמדה) כפול היחס בין המדד הסופי חלקי המדד ההתחלתי</t>
  </si>
  <si>
    <t>ד. כאשר גורם ספציפי מציע מסלול צמוד או לא צמוד לבחירת הלקוח: יש להניח ריבית נומינלית וריאלית זהות במסלולים</t>
  </si>
  <si>
    <t>ה. כאשר גורם ספציפי מציע מסלול צמוד או לא צמוד: ניתן לחלץ את ציפיות האינפלציה על בסיס השוואה של הערכים</t>
  </si>
  <si>
    <t>ו.1. על ידי מכפלה ביחס בין המדדים (מדד עדכני למועד החישוב חלקי מדד בנטילת ההלוואה); או</t>
  </si>
  <si>
    <t>ו.2. על ידי מכפלה ב-1 ועוד שיעור האינפלציה</t>
  </si>
  <si>
    <t xml:space="preserve">ו. כאשר עוסקים בלוח שפיצר ורוצים תשלום ספציפי צמוד, ככל שניתן נתחיל מחילוץ ה-PMT, אם צריך נצמיד אותו: </t>
  </si>
  <si>
    <t>ז. כאשר עוסקים בלוח שפיצר ורוצים לדעת מה היתרה אחרי הצמדה, נחשב PMT, נחלץ PV לתשלומים שנותרו</t>
  </si>
  <si>
    <t>לפני הצמדה, ואז - נכפול ביחס בין המדדים או ב-1 ועוד שיעור האינפלציה כדי להגיע לתוצאה סופית</t>
  </si>
  <si>
    <t>ב. נניח כי בסך הכל עד לתום החודש ה-5 עלה המדד מ-110 נקודות ל-114.4 נק׳. מהו התשלום החודשי בפועל בתום החודש ה-5</t>
  </si>
  <si>
    <r>
      <t xml:space="preserve">של חברות נקראת לעתים קרובות ״מחיר ההון״. </t>
    </r>
    <r>
      <rPr>
        <b/>
        <sz val="11"/>
        <color theme="1"/>
        <rFont val="David"/>
        <family val="2"/>
        <charset val="177"/>
      </rPr>
      <t>המטרה העקרונית היא לשקף את המשמעות של שווי תזרימי פרויקט נטו בהינתן הריבית</t>
    </r>
  </si>
  <si>
    <t>כשאנחנו דנים בפרויקטים - נקבל רשימה מוגדרת של תזרימי מזומנים - חיוביים ושליליים - וריבית: ועל בסיס נתונים אלו (תזרימים, עיתויים, ריבית)</t>
  </si>
  <si>
    <t>לגבש קריטריונים שיעזרו להעריך: האם הפרויקט כדאי / לא &gt;&gt; NPV ו- IRR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</si>
  <si>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 xml:space="preserve">הערך הנוכחי הנקי - ענ״נ או </t>
    </r>
    <r>
      <rPr>
        <b/>
        <sz val="11"/>
        <color rgb="FFEE0000"/>
        <rFont val="David"/>
        <family val="2"/>
        <charset val="177"/>
      </rPr>
      <t>NPV</t>
    </r>
    <r>
      <rPr>
        <b/>
        <sz val="11"/>
        <color theme="1"/>
        <rFont val="David"/>
        <family val="2"/>
        <charset val="177"/>
      </rPr>
      <t xml:space="preserve">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</si>
  <si>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r>
      <t xml:space="preserve">חיובי, הפרויקט כדאי. המשמעות העקרונית היא שנוצר </t>
    </r>
    <r>
      <rPr>
        <b/>
        <sz val="11"/>
        <color rgb="FFEE0000"/>
        <rFont val="David"/>
        <family val="2"/>
        <charset val="177"/>
      </rPr>
      <t>שווי כספי חיובי</t>
    </r>
    <r>
      <rPr>
        <sz val="11"/>
        <color theme="1"/>
        <rFont val="David"/>
        <family val="2"/>
        <charset val="177"/>
      </rPr>
      <t xml:space="preserve"> הנובע מכך שהתשואה על הפרויקט גבוהה</t>
    </r>
  </si>
  <si>
    <r>
      <t xml:space="preserve">תפיסת שיעור התשואה - </t>
    </r>
    <r>
      <rPr>
        <b/>
        <sz val="11"/>
        <color rgb="FFEE0000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</si>
  <si>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C41</t>
  </si>
  <si>
    <t>מחיר ההון / ריבית להיוון - rate</t>
  </si>
  <si>
    <t>C37:C39</t>
  </si>
  <si>
    <r>
      <t xml:space="preserve">טווח תזרימי המזומנים </t>
    </r>
    <r>
      <rPr>
        <b/>
        <u/>
        <sz val="11"/>
        <color theme="1"/>
        <rFont val="David"/>
        <family val="2"/>
        <charset val="177"/>
      </rPr>
      <t>העתידיים</t>
    </r>
    <r>
      <rPr>
        <sz val="11"/>
        <color theme="1"/>
        <rFont val="David"/>
        <family val="2"/>
        <charset val="177"/>
      </rPr>
      <t xml:space="preserve"> (ללא זמן 0)</t>
    </r>
  </si>
  <si>
    <t>C36</t>
  </si>
  <si>
    <t>תזרים המזומנים בזמן אפס מתווסף בנפרד (מחוץ לפונקציה)</t>
  </si>
  <si>
    <t>א. מהו השת״פ (IRR) של הפרויקט? מהי שיעור התשואה התקופתי מהפרויקט (באחוזים)?</t>
  </si>
  <si>
    <t xml:space="preserve">הערך המתקבל מציג את התשואה השנתית המשוקללת באחוזים על ההשקעה בפרויקט (בהתעלם בהתעלם משיעור הריבית). </t>
  </si>
  <si>
    <t>כדאיות לפי IRR תתקיים כאשר IRR&gt;שיעור הריבית.</t>
  </si>
  <si>
    <t>כל זה נכון כשדנים בפרויקט בודד</t>
  </si>
  <si>
    <t>או כשאין מגבלה לגבי מספר הפרויקטים לביצוע</t>
  </si>
  <si>
    <t>שאלה 4 - פרויקטים המוציאים זה את זה - בחירה בין פרויקטים / דירוגם</t>
  </si>
  <si>
    <t>כך שלמעשה, NPV התחיל גבוה יותר, אבל הוא יורד מהר יותר (שיפוע שלילי יותר). לכן, בריבית גבוהה מ-9.7%, ה-NPV של A יהיה נמוך יותר.</t>
  </si>
  <si>
    <t>כדי להמחיש ביתר שאת, נציג גרפית:</t>
  </si>
  <si>
    <t>מחיר ההון</t>
  </si>
  <si>
    <t>פרויקט B האדום</t>
  </si>
  <si>
    <t>יועדף בטווח</t>
  </si>
  <si>
    <t>שבו מחיר ההון 9.7% (חיתוך בין הפרויקטים, כי ה-NPV זהה בנקודה זו)</t>
  </si>
  <si>
    <t xml:space="preserve">לבין מחיר הון 60.74% (ולא יותר, כי מעל זה - שניהם שליליים). </t>
  </si>
  <si>
    <t>אז בקצרה:</t>
  </si>
  <si>
    <t xml:space="preserve">דירוג בין פרויקטים - נבצע לפי NPV - במחיר ההון הספציפי הנתון (אם יש כזה). </t>
  </si>
  <si>
    <t xml:space="preserve">אם המטרה היא לדרג עבור טווח שלם של מחירי הון - </t>
  </si>
  <si>
    <t>עלינו לגלות ״היכן הפרויקטים נחתכים״ מה שיעזור לגלות באיזה טווח</t>
  </si>
  <si>
    <t xml:space="preserve">הפרויקט האחד מעל השני. </t>
  </si>
  <si>
    <t>בשאלה ספציפית זו, נקודת החיתוך לא אותרה ישירות על ידינו, אלא חושבה.</t>
  </si>
  <si>
    <t xml:space="preserve">נטפל בהמשך גם בזה. </t>
  </si>
  <si>
    <t>נדרש א</t>
  </si>
  <si>
    <t>נדרש ב</t>
  </si>
  <si>
    <t>נדרש ג:</t>
  </si>
  <si>
    <t>להמשיך מכאן במפגש 11 - 18.6.2025 (משוער אולי יהיה שינוי)</t>
  </si>
  <si>
    <t>הרצאות 10 + 11 - 11.6.2025 ; 18.6.2025- קריטריונים לבחינת כדאיות השקעות</t>
  </si>
  <si>
    <t xml:space="preserve">לפניכם נתוני תזרימי המזומנים של פרויקט מסוים, המסומן כ״פרויקט A״. </t>
  </si>
  <si>
    <t xml:space="preserve">נדרש: הציגו את עקום ה-NPV של הפרויקט - אשר מציג את הקשר בין מחיר ההון (rate - עלות גיוס ההון / התשואה שדורשים המשקיעים) לשווי הפרויקט (NPV). </t>
  </si>
  <si>
    <t>ככלל, קיים קשר שלילי בין rate (מחיר ההון, תשואה נדרשת ע״י משקיעים) לבין שווי הפרויקט (NPV): ככל שעלות גיוס ההון עולה/ככל שהתשואה האלטרנטיבית עולה (rate), שווי הפרויקט יורד (NPV).</t>
  </si>
  <si>
    <t>עקום ה - NPV של השקעות תמיד יורד משמאל</t>
  </si>
  <si>
    <t xml:space="preserve">האופקי (rate) היא תמיד ה - IRR. 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</si>
  <si>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(כשrate=0)- שגרפית</t>
    </r>
  </si>
  <si>
    <r>
      <t xml:space="preserve">האנכי הוא </t>
    </r>
    <r>
      <rPr>
        <b/>
        <sz val="11"/>
        <color rgb="FFEE0000"/>
        <rFont val="David"/>
        <family val="2"/>
        <charset val="177"/>
      </rPr>
      <t>הסיכום הפשוט של תזרימי</t>
    </r>
  </si>
  <si>
    <t xml:space="preserve">מעבר ליכולת להציג טכנית את התרשים (שהרי הבחינה אמריקאית, ולכן הצגתו עקרונית לא מתחייבת - פתרו כיצד שתרצו), </t>
  </si>
  <si>
    <t xml:space="preserve">היא עוזרת לי להבין אינטואיטיבית את הקשר (ההגיוני) בין NPV ו- IRR. </t>
  </si>
  <si>
    <t>כאשר מחיר ההון של החברה rate נמוך יותר (משמאל) ל-IRR, כלומר משמאל לנקודת חיתוך עקום ה-NPV עם הציר האופקי,</t>
  </si>
  <si>
    <t>הפרויקט כדאי. מה ההיגיון? אם דורשים ממני תשואה של 10% על הפרויקט, למשל (rate=10%) והוא נמוך יותר</t>
  </si>
  <si>
    <t xml:space="preserve">מהתשואה שהפרויקט מניב שהיא ה-IRR (כאן: 36.31%) ברור שהפרויקט כדאי, ולהפך. </t>
  </si>
  <si>
    <t xml:space="preserve">אם אני צריך לבחור באיזה פרויקט (ספציפי, אחד) שבו עליי להשקיע מבין כמה, זה פשוט יחסית.  </t>
  </si>
  <si>
    <t>הולכים לפי NPV - (שווי הפרויקט נטו במונחי ערך נוכחי PV) ובוחר בפרויקט שבו ה- NPV הוא הגבוה מבין כולם (אלא אם דורשים במפורש קריטריון אחר, לצד מגבלותיו).</t>
  </si>
  <si>
    <t xml:space="preserve">השאלה היא כיצד פועלים כשיש אפשרות לשלב בין פרויקטים ולהשקיע בחלקי פרויקטים (למצות את תקציב ההשקעות העומד לרשותי דרך הקצאתו לפרויקטים השונים, </t>
  </si>
  <si>
    <t xml:space="preserve">תוך אפשרות ביצוע חלקי לפרויקטים. </t>
  </si>
  <si>
    <t>שאלה 7 - פרויקטים המוציאים זה את זה (מגבלת תקציב) - כולל התייחסות למדד הרווחיות PI כקריטריון עזר נוסף מעבר ל-NPV</t>
  </si>
  <si>
    <t xml:space="preserve">לפניכם נתוני 5 פרויקטים. עלות ההון )(התשואה הנדרשת על ידי המשקיעים - rate) היא 10% וקיימת מגבלת תקציב של 500,000 ש״ח. </t>
  </si>
  <si>
    <t xml:space="preserve">נדרש - מהו הרכב ההשקעות האופטימלי (כיצד נקצה את ה-500,000 בין הפרויקטים כדי למקסם NPV) - הניחו שניתן להשקיע בחלקי פרויקטים? </t>
  </si>
  <si>
    <t>נתונים פרויקטים / תזרימי המזומנים מהם בצורה מפורשת;</t>
  </si>
  <si>
    <t xml:space="preserve">נתון שמחיר ההון rate = 10%. </t>
  </si>
  <si>
    <t xml:space="preserve">נחשב בתור התחלה את הבסיס לתהליך - NPV של כל פרויקט בנפרד. </t>
  </si>
  <si>
    <t xml:space="preserve">המטרה כאן איננה לבחור בפרויקט בודד שבו ה-NPV מקסימלי; אלא לשלב ביניהם כדי שסך ה-NPV יהיה מקסימלי. </t>
  </si>
  <si>
    <t>NPV
שוויו
הכספי
של הפרויקט
נטו</t>
  </si>
  <si>
    <t>אני רוצה בשאלות כאלו למקסס ולמקסם:</t>
  </si>
  <si>
    <t>למקסס - מלשון מיקס - אני רוצה שילוב של פרויקטים כדי להגיע לתוצאה</t>
  </si>
  <si>
    <t>למקסם - כך שה-NPV המצרפי של המיקס יהיה הגבוה ביותר</t>
  </si>
  <si>
    <t>במונה - NPV: שווי הפרויקט בערך נוכחי, נטו</t>
  </si>
  <si>
    <t>סכום ההשקעה הראשונית, בערכו המוחלט</t>
  </si>
  <si>
    <t>מדד הרווחיות: הפרופורציה בין השווי להשקעה</t>
  </si>
  <si>
    <t xml:space="preserve">ברגע שמדד הרווחיות חושב, הנטייה תהיה להקצות השקעה לפרויקטים לפי PI בסדר יורד, מהגבוה לנמוך.
מדוע? כי מדד הרווחיות בעצם מספר לנו כמה ערך כלכלי, שווי, NPV נוצר על כל 1 ש״ח השקעה בפרויקט. 
כמובן, שכדי לנצל את תקציב ההשקעה בצורה הטובה ביותר - נרצה להקצות כמה שיותר ש״ח להשקעות
עם PI גבוה ככל הניתן.
הערה: לא נשקיע בפרויקטים עם PI שלילי (לא רלוונטי פה, אבל לידיעה). </t>
  </si>
  <si>
    <t>תקציב ראשוני לפני הקצאות</t>
  </si>
  <si>
    <t>תרומה לענ״נ
NPV</t>
  </si>
  <si>
    <t>ה-200: יתרת התקציב שנותרה להשקעה בפרויקט C לאחר ההקצאות לפרויקטים הקודמים</t>
  </si>
  <si>
    <t xml:space="preserve">   סך ההשקעה הנדרשת בפרויקט C</t>
  </si>
  <si>
    <t>שוויו המלא של פרויקט C</t>
  </si>
  <si>
    <t>פרויקט שאין לי כסף</t>
  </si>
  <si>
    <t>לבצעו באופן מלא</t>
  </si>
  <si>
    <t>יעניק לי ערך</t>
  </si>
  <si>
    <t>לפי הסכום שכן אוכל להשקיע בו</t>
  </si>
  <si>
    <t xml:space="preserve">וכל זה כפול שוויו (NPV שלו). </t>
  </si>
  <si>
    <t>חלקי סכום ההשקעה הנדרש בו</t>
  </si>
  <si>
    <t>בסך הכל, השווי המצרפי המירבי אליו ניתן להגיע - סיכום:</t>
  </si>
  <si>
    <t>כלומר: מבצעים באופן מלא את הפרויקטים D,A,B; וכן 2/3 מפרויקט C</t>
  </si>
  <si>
    <t xml:space="preserve">באופן כזה מגיעים ל-NPV כולל של 257.44 אלפי ש״ח, שהוא המירבי שניתן להגיע אליו בנסיבות אלו. </t>
  </si>
  <si>
    <t>הסבר ישן (אני משאיר, תכל׳ס לא צריך):</t>
  </si>
  <si>
    <t>שאלה 13 - הצגה גרפית של שני פרויקטים, ובחירה ביניהם על בסיס האיור / התרשים</t>
  </si>
  <si>
    <t>מבוא: ככלל, כאשר נדרש לבחור בפרויקט אחד בלבד מבין כמה - כלל ה-NPV הוא המלך שלנו!</t>
  </si>
  <si>
    <t xml:space="preserve">מיקסום NPV משמעו מיקסום ערך החברה לבעלי המניות, ותכל׳ס - זוהי מטרת הפירמה. </t>
  </si>
  <si>
    <t>נשאלת השאלה - איך אוכל לזהות איזה NPV גבוה יותר, אם מחיר ההון לא נתון? למשל, האם אוכל לקבוע שבמחיר הון של מעל 10% עדיף א, או עדיף ב?</t>
  </si>
  <si>
    <t xml:space="preserve">הדרך ההבנתית המלאה ביותר עוברת דרך איור תרשימי הפרויקטים - ושימוש בגישה שנקראת ״פרויקט הפרשי״. </t>
  </si>
  <si>
    <t>לפניכם שני פרויקטים אפשריים להשקעה - החברה יכולה לבחור לבצע לכל היותר אחד מביניהם:</t>
  </si>
  <si>
    <t xml:space="preserve">הציגו את עקום הענ״נ של הפרויקטים (קל) ואת החיתוך ביניהם (WTF). </t>
  </si>
  <si>
    <t>תזרים בזמן 0 - סכום השקעה:</t>
  </si>
  <si>
    <t>סכום השקעה הוא גם: הערך המינימלי של NPV, שלא ניתן לרדת מתחת אליו</t>
  </si>
  <si>
    <t>ה-IRR - חיתוך עם ציר rate:</t>
  </si>
  <si>
    <t>סיכום של תזרימים: חיתוך עם ציר NPV</t>
  </si>
  <si>
    <t>ה-IRR של תזרימי ההפרש:</t>
  </si>
  <si>
    <t xml:space="preserve">הוא נקודת החיתוך בין הפרויקטים. </t>
  </si>
  <si>
    <t>הגדול - הקטן - קו מקווקו</t>
  </si>
  <si>
    <t>בקצרה: נחשב את הפרשי התזרימים, נבצע עליו IRR, זו נקודת החיתוך בין הפרויקטים ועל בסיסה נוכל לשפוט - מי מבין הפרויקטים עדיף</t>
  </si>
  <si>
    <t>בכל צד של הטווח</t>
  </si>
  <si>
    <t>הערה: לא בוצעו בלונים לאור הרגישות למצב. אבל למי שזה הפריע לו</t>
  </si>
  <si>
    <t>שכר</t>
  </si>
  <si>
    <t>פרטים</t>
  </si>
  <si>
    <t>שכר מלא</t>
  </si>
  <si>
    <t>חל״ת</t>
  </si>
  <si>
    <t>שכר מופחת</t>
  </si>
  <si>
    <t>חודשים 1-2</t>
  </si>
  <si>
    <t>חודשים 3-4</t>
  </si>
  <si>
    <t>חודשים 5-6</t>
  </si>
  <si>
    <t>תזרימים כל חודש &gt;&gt;&gt; ריבית חודשית &gt;&gt;&gt; שנתית אפקטיבית נתונה:</t>
  </si>
  <si>
    <t xml:space="preserve">הפרש </t>
  </si>
  <si>
    <t>מה עושים איתו</t>
  </si>
  <si>
    <t>מפקידים לחסכון (במינוס)</t>
  </si>
  <si>
    <t>משיכה מחסכון (בפלוס)</t>
  </si>
  <si>
    <t>תשובה 1</t>
  </si>
  <si>
    <t>לבקשתכם - קצת סדר בעולמות הריבית</t>
  </si>
  <si>
    <t>סוג חישוב</t>
  </si>
  <si>
    <t>מס׳ חישוב</t>
  </si>
  <si>
    <t>הסבר / שימוש</t>
  </si>
  <si>
    <t>נוסחה / אופן ביצוע</t>
  </si>
  <si>
    <t>המרה מריבית נקובה לריבית נקובה לתקופה אחרת</t>
  </si>
  <si>
    <t>R/n</t>
  </si>
  <si>
    <t>כאשר</t>
  </si>
  <si>
    <t>הריבית הנקובה - R, מספר תקופות החישוב שלה - n</t>
  </si>
  <si>
    <t>המרה מריבית אפקטיבית לאפקטיבית לתקופה אחרת</t>
  </si>
  <si>
    <t>שימו לב: כאשר מדובר בשאלות העוסקות בחישוב סדרתי (FV או PV</t>
  </si>
  <si>
    <t>של סדרה) - אני צריך את הריבית לתקופת תשלום ולא לתקופת העסקה כולה</t>
  </si>
  <si>
    <t>(1 + r)^m - 1</t>
  </si>
  <si>
    <t>כאשר - האפקטיבית הנתונה r, ה-m הוא היחס: רצוי חלקי מצוי</t>
  </si>
  <si>
    <t xml:space="preserve">המרה מריבית נקובה לריבית אפקטיבית - במצב של </t>
  </si>
  <si>
    <t xml:space="preserve">ריבית דריבית </t>
  </si>
  <si>
    <r>
      <t xml:space="preserve">הריבית השנתית </t>
    </r>
    <r>
      <rPr>
        <u/>
        <sz val="11"/>
        <color theme="1"/>
        <rFont val="David"/>
        <family val="2"/>
        <charset val="177"/>
      </rPr>
      <t>הנקובה</t>
    </r>
    <r>
      <rPr>
        <sz val="11"/>
        <color theme="1"/>
        <rFont val="David"/>
        <family val="2"/>
        <charset val="177"/>
      </rPr>
      <t xml:space="preserve"> 12%, מהי הריבית </t>
    </r>
    <r>
      <rPr>
        <u/>
        <sz val="11"/>
        <color theme="1"/>
        <rFont val="David"/>
        <family val="2"/>
        <charset val="177"/>
      </rPr>
      <t>הנקובה</t>
    </r>
    <r>
      <rPr>
        <sz val="11"/>
        <color theme="1"/>
        <rFont val="David"/>
        <family val="2"/>
        <charset val="177"/>
      </rPr>
      <t xml:space="preserve"> החודשית (פחות נפוץ)</t>
    </r>
  </si>
  <si>
    <r>
      <t xml:space="preserve">הריבית השנתית </t>
    </r>
    <r>
      <rPr>
        <u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12.68%, מהי הריבית </t>
    </r>
    <r>
      <rPr>
        <u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החודשית</t>
    </r>
  </si>
  <si>
    <r>
      <t xml:space="preserve">הריבית השנתית </t>
    </r>
    <r>
      <rPr>
        <u/>
        <sz val="11"/>
        <color theme="1"/>
        <rFont val="David"/>
        <family val="2"/>
        <charset val="177"/>
      </rPr>
      <t>הנקובה</t>
    </r>
    <r>
      <rPr>
        <sz val="11"/>
        <color theme="1"/>
        <rFont val="David"/>
        <family val="2"/>
        <charset val="177"/>
      </rPr>
      <t xml:space="preserve"> 10% והיא </t>
    </r>
    <r>
      <rPr>
        <u/>
        <sz val="11"/>
        <color theme="1"/>
        <rFont val="David"/>
        <family val="2"/>
        <charset val="177"/>
      </rPr>
      <t>מחושבת כל</t>
    </r>
    <r>
      <rPr>
        <sz val="11"/>
        <color theme="1"/>
        <rFont val="David"/>
        <family val="2"/>
        <charset val="177"/>
      </rPr>
      <t xml:space="preserve"> חודשיים, מהי הריבית</t>
    </r>
  </si>
  <si>
    <r>
      <rPr>
        <u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</t>
    </r>
  </si>
  <si>
    <t>(1 + R/n)^m -1</t>
  </si>
  <si>
    <t>הריבית הנקובה - R, מספר תקופות חישוב הריבית הנקובה - n</t>
  </si>
  <si>
    <t>מספר תקופות חישוב הריבית בתקופה הנדרשת - ה-m או:</t>
  </si>
  <si>
    <t>היחס בין הרצוי לתקופת חישוב אחת</t>
  </si>
  <si>
    <t>ריבית מראש / עמלה מראש באחוזים (ניכוי מראש)</t>
  </si>
  <si>
    <t>מהי הריבית האפקטיבית השנתית?</t>
  </si>
  <si>
    <t xml:space="preserve">הלוואה לשנה הדורשת תשלום ריבית בשיעור 8% המשולמת מראש. </t>
  </si>
  <si>
    <t>1/(1-d) - 1</t>
  </si>
  <si>
    <t>הניכוי מראש הוא הערך d מלשון deduction</t>
  </si>
  <si>
    <t>ריבית מראש / עמלה מראש בסכום כספי</t>
  </si>
  <si>
    <t xml:space="preserve">אם ניתן - תמיד עדיף במצבי ריבית מראש או ניכוי מראש פשוט לחשב </t>
  </si>
  <si>
    <t>את הסכום הכספי נטו בתחילת העסקה CF0 ובתום העסקה CFt</t>
  </si>
  <si>
    <t>היחס ביניהם (פחות 1) יהיה הריבית האפקטיבית לתקופת העסקה</t>
  </si>
  <si>
    <t>זהירות! שיטה זו לא מתאימה לסדרות אלא לסכומים בודדים</t>
  </si>
  <si>
    <t>CFt/CF0 - 1</t>
  </si>
  <si>
    <t>המרות ריבית ״בסיסיות״ = ללא הצמדות = כאשר הריבית מחושבת על פי נוסחאות מוגדרות מתמטית (ללא פונקציות אקסל)</t>
  </si>
  <si>
    <t>חילוץ ריבית במצבים שבהם מוגדר הסדר תשלומים מסוים (כעין סדרה - כמו לשלם בעד מוצר בתשלומים, או לחלץ ריבית המגולמת בהלוואה הנפרעת בתשלומים)</t>
  </si>
  <si>
    <t>חילוץ ריבית מהסדר תשלומים עם תזרימים קבועים</t>
  </si>
  <si>
    <t>אם מספרים לי בדיוק מה אני מקבל / מה אני משלם בסדרה,</t>
  </si>
  <si>
    <t>ועליי לחלץ את הריבית המגולמת בה ע״י פונקציית RATE</t>
  </si>
  <si>
    <t>הזנת כל הפרמטרים כרגיל: rate, nper, pmt, pv, fv ושימוש ב-RATE כדי לחלץ את הריבית)</t>
  </si>
  <si>
    <t xml:space="preserve">זכרו: הריבית שמחלצים בתהליך זה היא תמיד הריבית האפקטיבית לתקופת תשלום. </t>
  </si>
  <si>
    <t>אם אתם מעוניינים בריבית אפקטיבית לתקופה אחרת (למשל, התשלומים הם כל חודש,</t>
  </si>
  <si>
    <t>לכן חילצתם אפקטיבית לחודש, אבל הנדרש דורש אפקטיבית לשנה) - חזרו לנוסחה 2.</t>
  </si>
  <si>
    <t>ריבית ריאלית / נומינלית - או במלים אחרות: חישובי ריבית בהינתן נתוני הצמדה (הצמדה לדולר, הצמדה למדד, אינפלציה) - במקרים אחרים אין בכך צורך</t>
  </si>
  <si>
    <t>חילוץ ריבית ריאלית (ריבית המשקפת שינוי בכח הקניה,</t>
  </si>
  <si>
    <t>שהיא למעשה ריבית צמודה או ריבית שקלית / נומינלית</t>
  </si>
  <si>
    <t>לאחר שמנכים ממנה את האינפלציה)</t>
  </si>
  <si>
    <t>אם מספקים לי מידע על חלופות שונות להשקעה או הלוואה,</t>
  </si>
  <si>
    <t>חלקן שקליות / לא צמודות, חלקן צמודות למדד / למט״ח (כגון</t>
  </si>
  <si>
    <t>דולר) וכן הלאה</t>
  </si>
  <si>
    <t>rr = (1+rn)/(1+h) - 1</t>
  </si>
  <si>
    <t>כאשר: הריבית הריאלית rr</t>
  </si>
  <si>
    <t>מתבססת על הריבית הנומינלית (שקלית כוללת) rn</t>
  </si>
  <si>
    <t>והערך h משקף את השינוי באחוזים במדד / במט״ח</t>
  </si>
  <si>
    <t>שאלה גדולה להמחשת הדיון בריביות:</t>
  </si>
  <si>
    <t>א. מהי הריבית האפקטיבית לשנה אם הריבית הנקובה לשנה בשיעור 10% מחושבת מראש?</t>
  </si>
  <si>
    <t>ב. מהי הריבית האפקטיבית לחצי שנה, אם הריבית הנקובה לשנה בשיעור 12% מחושבת כל חודש?</t>
  </si>
  <si>
    <t>ד. יבואן רכב מציע רכב למכירה במזומן תמורת 100,000 ש״ח או ב-50 תשלומים חודשיים שווים בסך 2,200 ש״ח. מהי הריבית השנתית האפקטיבית בעסקה?</t>
  </si>
  <si>
    <t>ה. מהי הריבית האפקטיבית לשנה בעסקת הלוואה בסך 50,000 ש״ח הדורשת עמלת עריכת מסמכים מיידית בסך 6,000 ש״ח, כאשר קרן ההלוואה נושאת ריבית נקובה שנתית בשיעור 8% המחושבת כל חודשיים?</t>
  </si>
  <si>
    <t>נוסחה 4 לעיל:</t>
  </si>
  <si>
    <t>נוסחה 3 לעיל:</t>
  </si>
  <si>
    <t>ג. מהי הריבית האפקטיבית לשנה, בעסקה ללא ריבית לשנה, הדורשת תשלום עמלת עריכת מסמכים בשיעור 5% בתחילת העסקה?</t>
  </si>
  <si>
    <t>נוסחה 6 לעיל:</t>
  </si>
  <si>
    <t>אפקטיבית לחודש</t>
  </si>
  <si>
    <t>שלב 2: המרת האפקטיבית החודשית לאפקטיבית שנתית עם חזקה (נוסחה 2):</t>
  </si>
  <si>
    <t>שלב 1: חילוץ ריבית לתקופת תשלום בסדרה (כאן - חודש) באמצעות RATE (נוסחה 6):</t>
  </si>
  <si>
    <t>נוסחה 5 לעיל:</t>
  </si>
  <si>
    <t>סכום הלוואה נטו זמן 0:</t>
  </si>
  <si>
    <t>מחזיר בתום העסקה 1:</t>
  </si>
  <si>
    <t>ריבית אפ׳ לעסקה (שנה):</t>
  </si>
  <si>
    <t>ו. מהי הריבית הריאלית השנתית בהסדר לחצי שנה הנושא ריבית נקובה שקלית / לא צמודה של 6% במונחים שנתיים, אשר מחושבת כל רבעון, בהנחה שהאינפלציה הצפויה במהלך חצי השנה הקרובה היא 2%?</t>
  </si>
  <si>
    <t>ריבית אפקטיבית / נומינלית לחצי שנה:</t>
  </si>
  <si>
    <t>נוסחה 3:</t>
  </si>
  <si>
    <t>ריבית ריאלית לחצי שנה:</t>
  </si>
  <si>
    <t>נוסחה 7:</t>
  </si>
  <si>
    <t>נוסחה 2:</t>
  </si>
  <si>
    <t>המרת ריאלית חצי שנתית לריאלית שנתית:</t>
  </si>
  <si>
    <t>זה התוכן שבוצע ב-25.6.2025, מפגש 12</t>
  </si>
  <si>
    <t>מפגשים 12,13 - 25.6.2025 + 2.7.2025 שאלות חזרה עם פתרונות ופרידה מרגשת</t>
  </si>
  <si>
    <t>מפה והלאה - שאלות חזרה נוספות ו/או בקשות קהל</t>
  </si>
  <si>
    <t>זה התוכן שבוצע ב-2.7.2025, מפגש 13</t>
  </si>
  <si>
    <t>זוהי שאלה בנושא ריביות, שהתמודדנו עמה במפורט במפגש 13 - 2.7.2025</t>
  </si>
  <si>
    <t>ו/או במסיחים) הם נתונים באחוזים, המטרה היא לחשב את הריבית האפקטיבית בכל חלופה - ולבחור בזו שהריבית</t>
  </si>
  <si>
    <t>האפקטיבית בה היא הנמוכה ביותר (בהלוואות - ריבית אפקטיבית ״עלות המימון״ באחוזים, ונשאף למזער אותה)</t>
  </si>
  <si>
    <r>
      <rPr>
        <b/>
        <sz val="11"/>
        <color theme="1"/>
        <rFont val="David"/>
        <family val="2"/>
        <charset val="177"/>
      </rPr>
      <t>זיהוי השאלה</t>
    </r>
    <r>
      <rPr>
        <sz val="11"/>
        <color theme="1"/>
        <rFont val="David"/>
        <family val="2"/>
        <charset val="177"/>
      </rPr>
      <t>: כאשר המטרה היא לבחור בין חלופות להלוואה - וכל הנתונים של כל החלופות (בנתוני השאלה עצמה</t>
    </r>
  </si>
  <si>
    <t xml:space="preserve">חלופה 1: הלוואה בריבית שנתית נקובה 6%, המחושבת כל רבעון (ההלוואה עצמה היא לשנה). </t>
  </si>
  <si>
    <r>
      <t xml:space="preserve">במלים אחרות, נרצה לחשב ריבית אפקטיבית שנתית (לתקופת העסקה כולה - משום </t>
    </r>
    <r>
      <rPr>
        <u/>
        <sz val="11"/>
        <color theme="1"/>
        <rFont val="David"/>
        <family val="2"/>
        <charset val="177"/>
      </rPr>
      <t>שלא</t>
    </r>
    <r>
      <rPr>
        <sz val="11"/>
        <color theme="1"/>
        <rFont val="David"/>
        <family val="2"/>
        <charset val="177"/>
      </rPr>
      <t xml:space="preserve"> מדובר בעסקה בתשלומים, שבה</t>
    </r>
  </si>
  <si>
    <t xml:space="preserve">בדרך כלל נרצה את הריבית לתקופת תשלום) = במצב שבו הריבית הנתונה נקובה והיא מחושבת ״כל״. </t>
  </si>
  <si>
    <t>בלי קשר כרגע ליישום נוסחה ספציפית - כאשר הריבית הנתונה נקובה מחושבת כל X זמן, הצעד הראשון הוא לבצע חלוקה פשוטה</t>
  </si>
  <si>
    <t>של הריבית הנקובה, כדי להמיר / להעביר אותה לתקופת חישוב אחת.</t>
  </si>
  <si>
    <t xml:space="preserve">במלים פשוטות: ריבית שנתית נקובה 6% מחושבת כל רבעון (4 פעמים בשנה) - אחלק ב-4. </t>
  </si>
  <si>
    <t>ריבית לתקופת חישוב</t>
  </si>
  <si>
    <t>= R/n = 6%/4 = 1.5%</t>
  </si>
  <si>
    <t>צעד 1: המרת הנקובה הנתונה לריבית נקובה לתקופת חישוב אחת:</t>
  </si>
  <si>
    <t xml:space="preserve">צעד 2: נבצע חישוב ״ריבית דריבית״ כדי להמיר את תקופת החישוב הבודדת (רבעון) לתקופה הנדרשת (שנה). </t>
  </si>
  <si>
    <t>ההמרה הזו, בשלב הזה, תתבסס על מעריך חזקה מתאים:</t>
  </si>
  <si>
    <t>ריבית אפקטיבית לשנה</t>
  </si>
  <si>
    <t xml:space="preserve">= (1 + R/n)^m - 1 = (1 + 1.5%)^4 - 1 = </t>
  </si>
  <si>
    <t>ריבית אפקטיבית, חלופה 1:</t>
  </si>
  <si>
    <t>חישוב ״במכה״ של שני השלבים להמרת ריבית נקובה המחושבת כל ____ לאפקטיבית:</t>
  </si>
  <si>
    <t xml:space="preserve">חלופה 2: הלוואה בריבית שנתית נקובה 6%, המשולמת מיד במועד נטילת ההלוואה </t>
  </si>
  <si>
    <t xml:space="preserve">כאשר ריבית או תשלום / ניכוי כלשהו מבוצע מראש, אזי הוא משפיע בהגדרה על המכנה לחישוב הריבית. </t>
  </si>
  <si>
    <t>למרות שאין חובה כזו עקרונית, נוח להציג באמצעות ציר זמן את המשמעות, ואז נוכל אולי להכליל את זה לנוסחה.</t>
  </si>
  <si>
    <t>סכום ההלוואה - לא נתון. לכן אפשר בהחלט לעבוד עם סכום סמלי - למשל 1 ש״ח או 100 ש״ח (כי כל עוד כל הנתונים</t>
  </si>
  <si>
    <t xml:space="preserve">הם באחוזים, התוצאה תהיה נכונה, ולא משנה אם נניח קרן כזו או אחרת). </t>
  </si>
  <si>
    <t>נציג ציר זמן ובאמצעותו נבין מה קורה לכל ״שקל״ של הלוואה:</t>
  </si>
  <si>
    <t>נטילת ההלוואה</t>
  </si>
  <si>
    <t>סכום הלוואה - קרן חוזית</t>
  </si>
  <si>
    <t>החזר הקרן בתום השנה</t>
  </si>
  <si>
    <t>החזר הלוואה</t>
  </si>
  <si>
    <t>בניכוי תשלום ריבית מראש / ניכוי מראש</t>
  </si>
  <si>
    <t>אחרי שהצלחתי לייצג את התקבול התזרימי נטו בזמן 0 (כאן: 0.94), ואת סך ההחזר בתום התקופה נטו (כאן: 1), היחס</t>
  </si>
  <si>
    <t xml:space="preserve">בין הערכים, פחות 1 - הוא למעשה הריבית האפקטיבית לתקופת העסקה (כאן - לשנה). </t>
  </si>
  <si>
    <t>סכום נטו בזמן 0 - CF0</t>
  </si>
  <si>
    <t>סכום נטו משולם בזמן 1 = CF1</t>
  </si>
  <si>
    <t>ריבית אפקטיבית:</t>
  </si>
  <si>
    <t>חישוב מקוצר שמתאים למצבים שבהם קיימת ריבית מראש בלבד:</t>
  </si>
  <si>
    <t>אם נסמן את שיעור הריבית מראש לתקופת העסקה כולה באות d מלשון deduction (כדי לבטא את העובדה שזו לא</t>
  </si>
  <si>
    <t>סתם ריבית אלא ריבית שמשולמת מראש) יתקיים הביטוי הבא:</t>
  </si>
  <si>
    <t>חלופה 3: ריבית חודשית 0.55%</t>
  </si>
  <si>
    <t>אנו יודעים שהדרך שלנו לחשב ריבית אפקטיבית תלויה במהות הנתונים - ריבית נקובה, ריבית אפקטיבית, ריבית נקובה</t>
  </si>
  <si>
    <t xml:space="preserve">מראש - חשוב לזהות... לאט. </t>
  </si>
  <si>
    <t>נשאלת השאלה - אם ציינו בפניי ריבית, ללא מידע נוסף / נלווה לגבי סוגה - באיזו ריבית מדובר - וכיצד נמיר אותה מתקופה</t>
  </si>
  <si>
    <t>אחת לאחרת?</t>
  </si>
  <si>
    <t xml:space="preserve">ברירת המחדל הקורסית: כל ריבית שלא נאמר לגביה מפורשות אחרת, היא ריבית שהיא ״כבר אפקטיבית״ (לא נקובה). </t>
  </si>
  <si>
    <t xml:space="preserve">אופן ההמרה של ריבית אפקטיבית (ברירת מחדל) מתקופה אחת לאחרת, יישען על מעריך חזקה מתאים (ללא כפל או חילוק). </t>
  </si>
  <si>
    <t>חלופה 4: ריבית שנתית נקובה 2% מחושבת כל חצי שנה - ובנוסף עמלה בשיעור 4% המשולמת מיד במועד נטילת ההלוואה</t>
  </si>
  <si>
    <t>כאשר שאלה כוללת ניכוי מראש / עמלה מראש / ריבית מראש ״וזה הכל״ (ללא מידע נוסף), אפשר לפעול באמצעות ציר</t>
  </si>
  <si>
    <t xml:space="preserve">זמן ו/או באמצעות הנוסחה המקוצרת המתייחסת למצב של ניכוי מראש בלבד, כמבוטא בדיון בחלופה 2. </t>
  </si>
  <si>
    <t>ככל שהדיון מורכב יותר, וכולל כמה רכיבים (לא רק ניכוי מראש, אלא גם ריבית דריבית, תשלומים בסוף וכיו״ב), מומלץ</t>
  </si>
  <si>
    <t xml:space="preserve">בחום לפתור רק באמצעות ציר זמן. </t>
  </si>
  <si>
    <t>הציר יציג את קרן ההלוואה הראשונית באופן סמלי (שיכול להיות 100, או 1, או כל מספר אחר שאתם אוהבים) וממנו נגזור</t>
  </si>
  <si>
    <t xml:space="preserve">על פי הנתונים את תזרימי המזומנים בזמן 0 ובמועד הפירעון בהתאמה. </t>
  </si>
  <si>
    <t xml:space="preserve">היחס בין הערכים יהיה הריבית האפקטיבית לתקופת העסקה כולה (לא לשכוח - מינוס אחת). </t>
  </si>
  <si>
    <t>זמן (שנים)</t>
  </si>
  <si>
    <t>נטילת הלוואה</t>
  </si>
  <si>
    <t>פרעון הלוואה</t>
  </si>
  <si>
    <t>קרן הלוואה חוזית</t>
  </si>
  <si>
    <t>בניכוי תשלום עמלה - 4%</t>
  </si>
  <si>
    <t>חישוב ריבית</t>
  </si>
  <si>
    <t>יתרת חוב</t>
  </si>
  <si>
    <t>החזר - תשלום קרן ההלוואה + ריבית</t>
  </si>
  <si>
    <t>זהו התזרים נטו בזמן 1</t>
  </si>
  <si>
    <t>וכעת, כל מה שאני צריך לעשות, כאשר אני יודע בצורה מדויקת מהו התשלום הכולל בתום התקופה נטו (בערך מוחלט)</t>
  </si>
  <si>
    <t>ומהו התקבול ההתחלתי בתחילת התקופה, היחס בין ערכים אלו פחות 1 הוא הריבית האפקטיבית לתקופת ההסדר / העסקה.</t>
  </si>
  <si>
    <t>הריבית האפקטיבית בעסקה:</t>
  </si>
  <si>
    <t>חלופה 5 ואחרונה: ריבית אפקטיבית שנתית נתונה - בשיעור 6.2% (אין צורך בהתאמות)</t>
  </si>
  <si>
    <t>חלופה</t>
  </si>
  <si>
    <t>ריבית אפקטיבית שנתית</t>
  </si>
  <si>
    <t>זיהוי: כאשר שאלה עוסקת בריבית אפקטיבית שנתית וחישובה, כאשר נתוני המוצא קצת ״משוגעים״</t>
  </si>
  <si>
    <t xml:space="preserve">וכוללים סכומים כספיים, סכומים באחוזים, סכומים המנוכים מראש, סכומים המתקבלים כמענק - </t>
  </si>
  <si>
    <t>אני מגלה העדפה חזקה להצגת הסכומים הכספיים על ציר זמן, ולא לעבודה ישירה על נוסחאות הריבית.</t>
  </si>
  <si>
    <t>פרעון</t>
  </si>
  <si>
    <t>דמי פתיח תיק - 1.5% מסכום הלוואה</t>
  </si>
  <si>
    <t>סכום כספי נטו בזמן 0 - CF0</t>
  </si>
  <si>
    <t>סיום</t>
  </si>
  <si>
    <t>אינדיקטור</t>
  </si>
  <si>
    <t>סוף שנה</t>
  </si>
  <si>
    <t>נתון:</t>
  </si>
  <si>
    <t xml:space="preserve">הריבית הנקובה אמנם נתונה במונחים שנתיים (כך מקובל בשוק) אך היא ״פועלת״ במהלך העסקה </t>
  </si>
  <si>
    <t xml:space="preserve">פעם אחת, חצי שנה אחת, כי זו תקופת העסקה וגם תקופת חישוב ריבית. </t>
  </si>
  <si>
    <t>המרת ריבית נקובה משנה לחצי שנה היא ע״י חלוקה פשוטה - במקרה זה ב - 2: 2.4% = R לחצי שנה</t>
  </si>
  <si>
    <t>קרן וריבית</t>
  </si>
  <si>
    <t>מענק חיובי</t>
  </si>
  <si>
    <t>סכום נטו סופי</t>
  </si>
  <si>
    <t>CF1</t>
  </si>
  <si>
    <t>בתום העסקה, לבין הסכום נטו שהתקבל בתחילתה, כל זה פחות 1:</t>
  </si>
  <si>
    <r>
      <t xml:space="preserve">חישוב הריבית האפקטיבית לתקופת העסקה כולה - </t>
    </r>
    <r>
      <rPr>
        <b/>
        <sz val="11"/>
        <color theme="1"/>
        <rFont val="David"/>
        <family val="2"/>
        <charset val="177"/>
      </rPr>
      <t>חצי שנה</t>
    </r>
    <r>
      <rPr>
        <sz val="11"/>
        <color theme="1"/>
        <rFont val="David"/>
        <family val="2"/>
        <charset val="177"/>
      </rPr>
      <t xml:space="preserve"> - יישען על היחס בין הערך המוחלט של הסכום לתשלום</t>
    </r>
  </si>
  <si>
    <t>כעת, כל שנדרש לעשות הוא להמיר את הריבית האפקטיבית החצי שנתית, לריבית אפקטיבית שנתית - בהתאם לנדרש.</t>
  </si>
  <si>
    <t>המרת ריבית אפקטיבית מתקופה לתקופה - מבוצעת באמצעות מעריך חזקה מתאים בלבד:</t>
  </si>
  <si>
    <t>התשובה הסופית לשאלה</t>
  </si>
  <si>
    <r>
      <t xml:space="preserve">פחות אחת היא הריבית האפקטיבית </t>
    </r>
    <r>
      <rPr>
        <b/>
        <sz val="11"/>
        <color theme="0"/>
        <rFont val="David"/>
        <family val="2"/>
        <charset val="177"/>
      </rPr>
      <t>לתקופת העסקה</t>
    </r>
    <r>
      <rPr>
        <sz val="11"/>
        <color theme="0"/>
        <rFont val="David"/>
        <family val="2"/>
        <charset val="177"/>
      </rPr>
      <t>:</t>
    </r>
  </si>
  <si>
    <t xml:space="preserve">,-100,000 * (1 + 4.8%/2) = </t>
  </si>
  <si>
    <t>שאלה שפתרנו גם כן 2.7.2025 (13)</t>
  </si>
  <si>
    <t>גם שאלה זו פתרנו במפגש 13 - 2.7.2025</t>
  </si>
  <si>
    <t xml:space="preserve">נציג את הפרויקטים בצורה נוחה לעיבוד: אנכית. באופן כזה, לא יכולה להיווצר שגיאה שנובעת מפריסה שונה של הגיליון - </t>
  </si>
  <si>
    <t>עברית / אנגלית או הפוך. בהתאם, העתקתי לכאן בצורה פשוטה את הערכים לפי הסדר, מהמוקדם (למעלה) למאוחר (למטה)</t>
  </si>
  <si>
    <t xml:space="preserve">עבור כל אחד משני הפרויקטים. </t>
  </si>
  <si>
    <t xml:space="preserve">בנתוני השאלה, נאמר מפורשות שהפרויקטים מוציאים זה את זה - בעברית: ניתן לבצע לכל היותר אחד מבינהם. </t>
  </si>
  <si>
    <t>טענה 1 אומרת - הואיל ועדיף לקבל קודם את הסכומים הגבוהים יותר, עדיף פרויקט A.</t>
  </si>
  <si>
    <t>עקרונית, זה נכון - שעדיף לקבל את הכסף מוקדם יותר - אלא שכאן אין מידע לגבי מחיר ההון של החברה. לכן, תיאורטית,</t>
  </si>
  <si>
    <t xml:space="preserve">במצב שבו מחיר ההון אפס, הפרויקטים שקולים - ובהתאם למקרה קצה זה נשלול את הטענה. </t>
  </si>
  <si>
    <t>מחיר הון</t>
  </si>
  <si>
    <t>ענ״נ</t>
  </si>
  <si>
    <t xml:space="preserve">במקרה קצה שבו מחיר ההון 0, הפרויקטים שקולים. </t>
  </si>
  <si>
    <t xml:space="preserve">שימו לב: אם מחיר ההון היה נתון כחיובי - ניתן היה לקבוע ש-A עדיף. </t>
  </si>
  <si>
    <t>טענה 2 אומרת - כאשר מחיר ההון 10%, פרויקט A עדיף</t>
  </si>
  <si>
    <t>קרי במחיר הון של 10% שווי פרויקט A גבוה יותר וחיובי - לכן יועדף ויבוצע.</t>
  </si>
  <si>
    <t>טענה 3 אומרת - כאשר מחיר ההון 15.47%, פרויקט A עדיף</t>
  </si>
  <si>
    <t xml:space="preserve">למרות שבמחיר הון של 15.47% עדיין קיימת העדפה לפרויקט A, </t>
  </si>
  <si>
    <t xml:space="preserve">הפרויקט כולו לא כדאי (ה-NPV הופך לשלילי). </t>
  </si>
  <si>
    <t>טענה 3 לא תבחר על ידינו, הואיל וטענה 2 נכונה יותר, משום שכאשר ה-NPV</t>
  </si>
  <si>
    <t xml:space="preserve">שלילי, הטענה היא שההעדפה האמיתית היא ״לא לעשות דבר״ (לדחות </t>
  </si>
  <si>
    <t xml:space="preserve">את שני הפרויקטים). </t>
  </si>
  <si>
    <t>טענה נכונה.</t>
  </si>
  <si>
    <t>טענה 1 שגויה.</t>
  </si>
  <si>
    <r>
      <t xml:space="preserve">לכן מבחינתנו </t>
    </r>
    <r>
      <rPr>
        <b/>
        <sz val="11"/>
        <color rgb="FFEE0000"/>
        <rFont val="David"/>
        <family val="2"/>
        <charset val="177"/>
      </rPr>
      <t>טענה 3 שגויה</t>
    </r>
    <r>
      <rPr>
        <b/>
        <sz val="11"/>
        <color theme="1"/>
        <rFont val="David"/>
        <family val="2"/>
        <charset val="177"/>
      </rPr>
      <t>.</t>
    </r>
  </si>
  <si>
    <r>
      <t xml:space="preserve">בהתאם, גם </t>
    </r>
    <r>
      <rPr>
        <b/>
        <sz val="11"/>
        <color rgb="FFEE0000"/>
        <rFont val="David"/>
        <family val="2"/>
        <charset val="177"/>
      </rPr>
      <t>טענה 4</t>
    </r>
    <r>
      <rPr>
        <b/>
        <sz val="11"/>
        <color theme="1"/>
        <rFont val="David"/>
        <family val="2"/>
        <charset val="177"/>
      </rPr>
      <t>, שסבורה שבכל מחיר הון ה-NPV של פרויקט A חיובי</t>
    </r>
  </si>
  <si>
    <r>
      <t xml:space="preserve">היא </t>
    </r>
    <r>
      <rPr>
        <b/>
        <sz val="11"/>
        <color rgb="FFEE0000"/>
        <rFont val="David"/>
        <family val="2"/>
        <charset val="177"/>
      </rPr>
      <t>שגויה</t>
    </r>
    <r>
      <rPr>
        <b/>
        <sz val="11"/>
        <color theme="1"/>
        <rFont val="David"/>
        <family val="2"/>
        <charset val="177"/>
      </rPr>
      <t>.</t>
    </r>
  </si>
  <si>
    <r>
      <rPr>
        <b/>
        <sz val="11"/>
        <color rgb="FFEE0000"/>
        <rFont val="David"/>
        <family val="2"/>
        <charset val="177"/>
      </rPr>
      <t>טענה 5</t>
    </r>
    <r>
      <rPr>
        <b/>
        <sz val="11"/>
        <color theme="1"/>
        <rFont val="David"/>
        <family val="2"/>
        <charset val="177"/>
      </rPr>
      <t xml:space="preserve">: </t>
    </r>
    <r>
      <rPr>
        <b/>
        <sz val="11"/>
        <color rgb="FFEE0000"/>
        <rFont val="David"/>
        <family val="2"/>
        <charset val="177"/>
      </rPr>
      <t>שגויה</t>
    </r>
    <r>
      <rPr>
        <b/>
        <sz val="11"/>
        <color theme="1"/>
        <rFont val="David"/>
        <family val="2"/>
        <charset val="177"/>
      </rPr>
      <t xml:space="preserve">, לא ניתן לשלול באופן מלא את טענת מנהל ההשקעות להעדפת A, משום שבהחלט ייתכן שפרויקט זה יועדף (כתלות במחיר ההון).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</si>
</sst>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7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  <font>
      <sz val="9"/>
      <name val="David"/>
      <family val="2"/>
      <charset val="177"/>
    </font>
    <font>
      <b/>
      <sz val="11"/>
      <color rgb="FFEE0000"/>
      <name val="David"/>
      <family val="2"/>
      <charset val="177"/>
    </font>
    <font>
      <sz val="11"/>
      <color rgb="FFEE0000"/>
      <name val="David"/>
      <family val="2"/>
      <charset val="177"/>
    </font>
    <font>
      <sz val="11"/>
      <color theme="2" tint="-9.9978637043366805E-2"/>
      <name val="David"/>
      <family val="2"/>
      <charset val="177"/>
    </font>
    <font>
      <b/>
      <sz val="11"/>
      <color theme="2" tint="-9.9978637043366805E-2"/>
      <name val="David"/>
      <family val="2"/>
      <charset val="177"/>
    </font>
    <font>
      <b/>
      <sz val="14"/>
      <name val="David"/>
      <family val="2"/>
      <charset val="177"/>
    </font>
  </fonts>
  <fills count="30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49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3" fontId="14" fillId="6" borderId="0" xfId="0" applyNumberFormat="1" applyFont="1" applyFill="1"/>
    <xf numFmtId="0" fontId="15" fillId="0" borderId="11" xfId="0" applyFont="1" applyBorder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37" fontId="14" fillId="0" borderId="0" xfId="0" applyNumberFormat="1" applyFont="1"/>
    <xf numFmtId="0" fontId="33" fillId="0" borderId="0" xfId="0" applyFont="1"/>
    <xf numFmtId="0" fontId="19" fillId="0" borderId="0" xfId="0" applyFont="1"/>
    <xf numFmtId="0" fontId="39" fillId="0" borderId="0" xfId="0" applyFont="1"/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3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4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5" borderId="0" xfId="0" applyFont="1" applyFill="1"/>
    <xf numFmtId="0" fontId="3" fillId="25" borderId="0" xfId="0" applyFont="1" applyFill="1" applyAlignment="1">
      <alignment horizontal="center"/>
    </xf>
    <xf numFmtId="0" fontId="3" fillId="25" borderId="11" xfId="0" applyFont="1" applyFill="1" applyBorder="1" applyAlignment="1">
      <alignment horizontal="center"/>
    </xf>
    <xf numFmtId="169" fontId="3" fillId="25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6" borderId="13" xfId="0" applyFont="1" applyFill="1" applyBorder="1"/>
    <xf numFmtId="0" fontId="3" fillId="26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5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5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5" borderId="0" xfId="0" applyNumberFormat="1" applyFont="1" applyFill="1"/>
    <xf numFmtId="0" fontId="14" fillId="22" borderId="0" xfId="0" applyFont="1" applyFill="1" applyAlignment="1">
      <alignment horizontal="center"/>
    </xf>
    <xf numFmtId="3" fontId="14" fillId="22" borderId="0" xfId="0" applyNumberFormat="1" applyFont="1" applyFill="1" applyAlignment="1">
      <alignment horizontal="center"/>
    </xf>
    <xf numFmtId="0" fontId="14" fillId="25" borderId="0" xfId="0" applyFont="1" applyFill="1"/>
    <xf numFmtId="4" fontId="14" fillId="25" borderId="0" xfId="0" applyNumberFormat="1" applyFont="1" applyFill="1" applyAlignment="1">
      <alignment horizontal="center"/>
    </xf>
    <xf numFmtId="0" fontId="14" fillId="22" borderId="11" xfId="0" applyFont="1" applyFill="1" applyBorder="1" applyAlignment="1">
      <alignment horizontal="center"/>
    </xf>
    <xf numFmtId="3" fontId="14" fillId="22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7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28" borderId="0" xfId="0" applyNumberFormat="1" applyFont="1" applyFill="1"/>
    <xf numFmtId="2" fontId="9" fillId="28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2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3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0" fontId="8" fillId="20" borderId="30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7" borderId="3" xfId="0" applyFont="1" applyFill="1" applyBorder="1" applyAlignment="1">
      <alignment horizontal="center" wrapText="1"/>
    </xf>
    <xf numFmtId="2" fontId="6" fillId="27" borderId="3" xfId="0" applyNumberFormat="1" applyFont="1" applyFill="1" applyBorder="1" applyAlignment="1">
      <alignment horizontal="center"/>
    </xf>
    <xf numFmtId="0" fontId="6" fillId="27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7" borderId="0" xfId="0" applyFont="1" applyFill="1"/>
    <xf numFmtId="0" fontId="14" fillId="27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4" borderId="0" xfId="0" applyFont="1" applyFill="1"/>
    <xf numFmtId="0" fontId="48" fillId="0" borderId="0" xfId="0" applyFont="1"/>
    <xf numFmtId="2" fontId="14" fillId="25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28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5" borderId="12" xfId="0" applyNumberFormat="1" applyFont="1" applyFill="1" applyBorder="1" applyAlignment="1">
      <alignment horizontal="center"/>
    </xf>
    <xf numFmtId="4" fontId="3" fillId="25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29" borderId="0" xfId="0" applyFont="1" applyFill="1"/>
    <xf numFmtId="0" fontId="14" fillId="29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3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3" borderId="0" xfId="0" applyFont="1" applyFill="1"/>
    <xf numFmtId="10" fontId="24" fillId="0" borderId="0" xfId="2" applyNumberFormat="1" applyFont="1" applyAlignment="1">
      <alignment horizontal="center"/>
    </xf>
    <xf numFmtId="2" fontId="33" fillId="16" borderId="0" xfId="0" applyNumberFormat="1" applyFont="1" applyFill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  <xf numFmtId="0" fontId="9" fillId="0" borderId="24" xfId="0" applyFont="1" applyBorder="1"/>
    <xf numFmtId="0" fontId="9" fillId="0" borderId="23" xfId="0" applyFont="1" applyBorder="1"/>
    <xf numFmtId="0" fontId="9" fillId="0" borderId="25" xfId="0" applyFont="1" applyBorder="1"/>
    <xf numFmtId="0" fontId="9" fillId="0" borderId="26" xfId="0" applyFont="1" applyBorder="1"/>
    <xf numFmtId="0" fontId="9" fillId="0" borderId="11" xfId="0" applyFont="1" applyBorder="1"/>
    <xf numFmtId="0" fontId="9" fillId="0" borderId="27" xfId="0" applyFont="1" applyBorder="1"/>
    <xf numFmtId="0" fontId="66" fillId="0" borderId="0" xfId="0" applyFont="1" applyAlignment="1">
      <alignment horizontal="center"/>
    </xf>
    <xf numFmtId="0" fontId="66" fillId="0" borderId="11" xfId="0" applyFont="1" applyBorder="1" applyAlignment="1">
      <alignment horizontal="center"/>
    </xf>
    <xf numFmtId="0" fontId="66" fillId="0" borderId="0" xfId="0" applyFont="1" applyAlignment="1">
      <alignment horizontal="right"/>
    </xf>
    <xf numFmtId="0" fontId="8" fillId="0" borderId="0" xfId="0" applyFont="1" applyAlignment="1">
      <alignment horizontal="left"/>
    </xf>
    <xf numFmtId="0" fontId="8" fillId="29" borderId="0" xfId="0" applyFont="1" applyFill="1"/>
    <xf numFmtId="178" fontId="8" fillId="0" borderId="0" xfId="2" applyNumberFormat="1" applyFont="1"/>
    <xf numFmtId="178" fontId="8" fillId="0" borderId="0" xfId="0" applyNumberFormat="1" applyFont="1"/>
    <xf numFmtId="2" fontId="8" fillId="3" borderId="0" xfId="0" applyNumberFormat="1" applyFont="1" applyFill="1"/>
    <xf numFmtId="166" fontId="8" fillId="3" borderId="0" xfId="1" applyFont="1" applyFill="1" applyAlignment="1">
      <alignment horizontal="center"/>
    </xf>
    <xf numFmtId="0" fontId="8" fillId="0" borderId="11" xfId="0" applyFont="1" applyBorder="1" applyAlignment="1">
      <alignment horizontal="center" wrapText="1"/>
    </xf>
    <xf numFmtId="2" fontId="8" fillId="10" borderId="0" xfId="0" applyNumberFormat="1" applyFont="1" applyFill="1" applyAlignment="1">
      <alignment horizontal="center"/>
    </xf>
    <xf numFmtId="2" fontId="8" fillId="16" borderId="0" xfId="0" applyNumberFormat="1" applyFont="1" applyFill="1" applyAlignment="1">
      <alignment horizontal="center"/>
    </xf>
    <xf numFmtId="2" fontId="9" fillId="3" borderId="0" xfId="0" applyNumberFormat="1" applyFont="1" applyFill="1" applyAlignment="1">
      <alignment horizontal="center"/>
    </xf>
    <xf numFmtId="0" fontId="8" fillId="20" borderId="0" xfId="0" applyFont="1" applyFill="1"/>
    <xf numFmtId="176" fontId="8" fillId="3" borderId="0" xfId="0" applyNumberFormat="1" applyFont="1" applyFill="1"/>
    <xf numFmtId="176" fontId="8" fillId="0" borderId="0" xfId="0" applyNumberFormat="1" applyFont="1"/>
    <xf numFmtId="176" fontId="8" fillId="16" borderId="0" xfId="0" applyNumberFormat="1" applyFont="1" applyFill="1"/>
    <xf numFmtId="166" fontId="8" fillId="0" borderId="0" xfId="1" applyFont="1" applyFill="1"/>
    <xf numFmtId="10" fontId="8" fillId="0" borderId="0" xfId="0" applyNumberFormat="1" applyFont="1" applyAlignment="1">
      <alignment horizontal="right"/>
    </xf>
    <xf numFmtId="0" fontId="67" fillId="0" borderId="0" xfId="0" applyFont="1"/>
    <xf numFmtId="0" fontId="67" fillId="0" borderId="17" xfId="0" applyFont="1" applyBorder="1"/>
    <xf numFmtId="0" fontId="8" fillId="0" borderId="3" xfId="0" applyFont="1" applyBorder="1" applyAlignment="1">
      <alignment horizontal="center" wrapText="1"/>
    </xf>
    <xf numFmtId="0" fontId="8" fillId="0" borderId="3" xfId="0" applyFont="1" applyBorder="1" applyAlignment="1">
      <alignment horizontal="right"/>
    </xf>
    <xf numFmtId="0" fontId="8" fillId="15" borderId="3" xfId="0" applyFont="1" applyFill="1" applyBorder="1"/>
    <xf numFmtId="0" fontId="69" fillId="0" borderId="0" xfId="0" applyFont="1"/>
    <xf numFmtId="0" fontId="70" fillId="0" borderId="0" xfId="0" applyFont="1"/>
    <xf numFmtId="0" fontId="68" fillId="0" borderId="0" xfId="0" applyFont="1"/>
    <xf numFmtId="0" fontId="11" fillId="0" borderId="11" xfId="0" applyFont="1" applyBorder="1"/>
    <xf numFmtId="0" fontId="11" fillId="0" borderId="0" xfId="0" applyFont="1"/>
    <xf numFmtId="0" fontId="8" fillId="14" borderId="0" xfId="0" applyFont="1" applyFill="1"/>
    <xf numFmtId="0" fontId="8" fillId="14" borderId="20" xfId="0" applyFont="1" applyFill="1" applyBorder="1"/>
    <xf numFmtId="0" fontId="8" fillId="14" borderId="22" xfId="0" applyFont="1" applyFill="1" applyBorder="1"/>
    <xf numFmtId="4" fontId="8" fillId="22" borderId="0" xfId="0" applyNumberFormat="1" applyFont="1" applyFill="1" applyAlignment="1">
      <alignment horizontal="center"/>
    </xf>
    <xf numFmtId="4" fontId="8" fillId="25" borderId="0" xfId="0" applyNumberFormat="1" applyFont="1" applyFill="1" applyAlignment="1">
      <alignment horizontal="center"/>
    </xf>
    <xf numFmtId="0" fontId="9" fillId="6" borderId="0" xfId="0" applyFont="1" applyFill="1"/>
    <xf numFmtId="0" fontId="8" fillId="6" borderId="0" xfId="0" applyFont="1" applyFill="1"/>
    <xf numFmtId="0" fontId="8" fillId="22" borderId="0" xfId="0" applyFont="1" applyFill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horizontal="right" wrapText="1"/>
    </xf>
    <xf numFmtId="0" fontId="8" fillId="0" borderId="0" xfId="0" applyFont="1" applyAlignment="1">
      <alignment horizontal="right"/>
    </xf>
    <xf numFmtId="0" fontId="71" fillId="3" borderId="18" xfId="0" applyFont="1" applyFill="1" applyBorder="1" applyAlignment="1">
      <alignment horizontal="center"/>
    </xf>
    <xf numFmtId="0" fontId="10" fillId="3" borderId="0" xfId="0" applyFont="1" applyFill="1"/>
    <xf numFmtId="0" fontId="8" fillId="11" borderId="0" xfId="0" applyFont="1" applyFill="1"/>
    <xf numFmtId="173" fontId="8" fillId="11" borderId="0" xfId="2" applyNumberFormat="1" applyFont="1" applyFill="1"/>
    <xf numFmtId="0" fontId="9" fillId="0" borderId="0" xfId="0" applyFont="1" applyBorder="1"/>
    <xf numFmtId="0" fontId="8" fillId="0" borderId="0" xfId="0" applyFont="1" applyBorder="1"/>
    <xf numFmtId="0" fontId="8" fillId="0" borderId="0" xfId="0" applyFont="1" applyBorder="1" applyAlignment="1">
      <alignment horizontal="center"/>
    </xf>
    <xf numFmtId="0" fontId="8" fillId="3" borderId="0" xfId="0" applyFont="1" applyFill="1" applyBorder="1" applyAlignment="1">
      <alignment horizontal="center"/>
    </xf>
    <xf numFmtId="173" fontId="8" fillId="29" borderId="0" xfId="2" applyNumberFormat="1" applyFont="1" applyFill="1" applyAlignment="1">
      <alignment horizontal="center" vertical="center"/>
    </xf>
    <xf numFmtId="10" fontId="8" fillId="0" borderId="11" xfId="0" applyNumberFormat="1" applyFont="1" applyBorder="1"/>
    <xf numFmtId="10" fontId="8" fillId="29" borderId="11" xfId="0" applyNumberFormat="1" applyFont="1" applyFill="1" applyBorder="1"/>
    <xf numFmtId="173" fontId="8" fillId="0" borderId="0" xfId="0" applyNumberFormat="1" applyFont="1"/>
    <xf numFmtId="173" fontId="8" fillId="8" borderId="0" xfId="0" applyNumberFormat="1" applyFont="1" applyFill="1"/>
    <xf numFmtId="172" fontId="8" fillId="3" borderId="0" xfId="2" applyNumberFormat="1" applyFont="1" applyFill="1"/>
    <xf numFmtId="172" fontId="8" fillId="12" borderId="0" xfId="2" applyNumberFormat="1" applyFont="1" applyFill="1"/>
    <xf numFmtId="0" fontId="25" fillId="0" borderId="11" xfId="0" applyFont="1" applyBorder="1" applyAlignment="1">
      <alignment horizontal="center"/>
    </xf>
    <xf numFmtId="3" fontId="25" fillId="0" borderId="0" xfId="0" applyNumberFormat="1" applyFont="1" applyAlignment="1">
      <alignment horizontal="center"/>
    </xf>
    <xf numFmtId="0" fontId="25" fillId="0" borderId="0" xfId="0" applyFont="1" applyAlignment="1">
      <alignment horizontal="center"/>
    </xf>
    <xf numFmtId="3" fontId="25" fillId="0" borderId="28" xfId="0" applyNumberFormat="1" applyFont="1" applyBorder="1" applyAlignment="1">
      <alignment horizontal="center"/>
    </xf>
    <xf numFmtId="173" fontId="25" fillId="0" borderId="0" xfId="2" applyNumberFormat="1" applyFont="1"/>
    <xf numFmtId="173" fontId="25" fillId="3" borderId="0" xfId="2" applyNumberFormat="1" applyFont="1" applyFill="1"/>
    <xf numFmtId="0" fontId="67" fillId="3" borderId="0" xfId="0" applyFont="1" applyFill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231</xdr:row>
      <xdr:rowOff>37041</xdr:rowOff>
    </xdr:from>
    <xdr:to>
      <xdr:col>4</xdr:col>
      <xdr:colOff>455083</xdr:colOff>
      <xdr:row>242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238</xdr:row>
      <xdr:rowOff>89958</xdr:rowOff>
    </xdr:from>
    <xdr:to>
      <xdr:col>5</xdr:col>
      <xdr:colOff>195792</xdr:colOff>
      <xdr:row>238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233</xdr:row>
      <xdr:rowOff>127000</xdr:rowOff>
    </xdr:from>
    <xdr:to>
      <xdr:col>4</xdr:col>
      <xdr:colOff>465667</xdr:colOff>
      <xdr:row>241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233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238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242</xdr:row>
      <xdr:rowOff>89958</xdr:rowOff>
    </xdr:from>
    <xdr:to>
      <xdr:col>4</xdr:col>
      <xdr:colOff>460376</xdr:colOff>
      <xdr:row>242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242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400</xdr:row>
      <xdr:rowOff>66842</xdr:rowOff>
    </xdr:from>
    <xdr:to>
      <xdr:col>4</xdr:col>
      <xdr:colOff>365403</xdr:colOff>
      <xdr:row>413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406</xdr:row>
      <xdr:rowOff>142596</xdr:rowOff>
    </xdr:from>
    <xdr:to>
      <xdr:col>4</xdr:col>
      <xdr:colOff>530280</xdr:colOff>
      <xdr:row>406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401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407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412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401</xdr:row>
      <xdr:rowOff>17008</xdr:rowOff>
    </xdr:from>
    <xdr:to>
      <xdr:col>4</xdr:col>
      <xdr:colOff>419554</xdr:colOff>
      <xdr:row>401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401</xdr:row>
      <xdr:rowOff>49007</xdr:rowOff>
    </xdr:from>
    <xdr:to>
      <xdr:col>4</xdr:col>
      <xdr:colOff>460479</xdr:colOff>
      <xdr:row>401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406</xdr:row>
      <xdr:rowOff>85044</xdr:rowOff>
    </xdr:from>
    <xdr:to>
      <xdr:col>3</xdr:col>
      <xdr:colOff>396876</xdr:colOff>
      <xdr:row>407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406</xdr:row>
      <xdr:rowOff>88303</xdr:rowOff>
    </xdr:from>
    <xdr:to>
      <xdr:col>2</xdr:col>
      <xdr:colOff>456895</xdr:colOff>
      <xdr:row>407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407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409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401</xdr:row>
      <xdr:rowOff>73705</xdr:rowOff>
    </xdr:from>
    <xdr:to>
      <xdr:col>4</xdr:col>
      <xdr:colOff>351518</xdr:colOff>
      <xdr:row>412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401</xdr:row>
      <xdr:rowOff>65169</xdr:rowOff>
    </xdr:from>
    <xdr:to>
      <xdr:col>4</xdr:col>
      <xdr:colOff>427830</xdr:colOff>
      <xdr:row>409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232</xdr:row>
      <xdr:rowOff>121977</xdr:rowOff>
    </xdr:from>
    <xdr:to>
      <xdr:col>3</xdr:col>
      <xdr:colOff>674464</xdr:colOff>
      <xdr:row>237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231</xdr:row>
      <xdr:rowOff>53814</xdr:rowOff>
    </xdr:from>
    <xdr:to>
      <xdr:col>6</xdr:col>
      <xdr:colOff>376695</xdr:colOff>
      <xdr:row>235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240</xdr:row>
      <xdr:rowOff>25113</xdr:rowOff>
    </xdr:from>
    <xdr:to>
      <xdr:col>6</xdr:col>
      <xdr:colOff>487909</xdr:colOff>
      <xdr:row>244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73052</xdr:colOff>
      <xdr:row>277</xdr:row>
      <xdr:rowOff>905592</xdr:rowOff>
    </xdr:from>
    <xdr:to>
      <xdr:col>7</xdr:col>
      <xdr:colOff>309831</xdr:colOff>
      <xdr:row>277</xdr:row>
      <xdr:rowOff>1142372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8792544" y="54070967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277</xdr:row>
      <xdr:rowOff>914830</xdr:rowOff>
    </xdr:from>
    <xdr:to>
      <xdr:col>8</xdr:col>
      <xdr:colOff>308531</xdr:colOff>
      <xdr:row>277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445</xdr:row>
      <xdr:rowOff>25113</xdr:rowOff>
    </xdr:from>
    <xdr:to>
      <xdr:col>8</xdr:col>
      <xdr:colOff>530961</xdr:colOff>
      <xdr:row>459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454</xdr:row>
      <xdr:rowOff>114801</xdr:rowOff>
    </xdr:from>
    <xdr:to>
      <xdr:col>8</xdr:col>
      <xdr:colOff>613475</xdr:colOff>
      <xdr:row>454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450</xdr:row>
      <xdr:rowOff>121977</xdr:rowOff>
    </xdr:from>
    <xdr:to>
      <xdr:col>8</xdr:col>
      <xdr:colOff>530961</xdr:colOff>
      <xdr:row>456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446</xdr:row>
      <xdr:rowOff>100452</xdr:rowOff>
    </xdr:from>
    <xdr:to>
      <xdr:col>8</xdr:col>
      <xdr:colOff>538136</xdr:colOff>
      <xdr:row>458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453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454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449</xdr:row>
      <xdr:rowOff>157853</xdr:rowOff>
    </xdr:from>
    <xdr:to>
      <xdr:col>8</xdr:col>
      <xdr:colOff>545311</xdr:colOff>
      <xdr:row>457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454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452</xdr:row>
      <xdr:rowOff>96864</xdr:rowOff>
    </xdr:from>
    <xdr:to>
      <xdr:col>8</xdr:col>
      <xdr:colOff>35876</xdr:colOff>
      <xdr:row>454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451</xdr:row>
      <xdr:rowOff>182966</xdr:rowOff>
    </xdr:from>
    <xdr:to>
      <xdr:col>8</xdr:col>
      <xdr:colOff>96865</xdr:colOff>
      <xdr:row>452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811804</xdr:colOff>
      <xdr:row>125</xdr:row>
      <xdr:rowOff>74706</xdr:rowOff>
    </xdr:from>
    <xdr:to>
      <xdr:col>6</xdr:col>
      <xdr:colOff>308784</xdr:colOff>
      <xdr:row>129</xdr:row>
      <xdr:rowOff>159372</xdr:rowOff>
    </xdr:to>
    <xdr:sp macro="" textlink="">
      <xdr:nvSpPr>
        <xdr:cNvPr id="27" name="Left Brace 26">
          <a:extLst>
            <a:ext uri="{FF2B5EF4-FFF2-40B4-BE49-F238E27FC236}">
              <a16:creationId xmlns:a16="http://schemas.microsoft.com/office/drawing/2014/main" id="{151500CC-014B-1506-21B7-098865207712}"/>
            </a:ext>
          </a:extLst>
        </xdr:cNvPr>
        <xdr:cNvSpPr/>
      </xdr:nvSpPr>
      <xdr:spPr>
        <a:xfrm>
          <a:off x="13539997922" y="23895922"/>
          <a:ext cx="323725" cy="88650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592666</xdr:colOff>
      <xdr:row>149</xdr:row>
      <xdr:rowOff>9961</xdr:rowOff>
    </xdr:from>
    <xdr:to>
      <xdr:col>3</xdr:col>
      <xdr:colOff>662392</xdr:colOff>
      <xdr:row>149</xdr:row>
      <xdr:rowOff>149412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8B7C2DA7-6361-04A1-3452-F517E76C7F75}"/>
            </a:ext>
          </a:extLst>
        </xdr:cNvPr>
        <xdr:cNvCxnSpPr/>
      </xdr:nvCxnSpPr>
      <xdr:spPr>
        <a:xfrm flipV="1">
          <a:off x="13542124549" y="2841811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577725</xdr:colOff>
      <xdr:row>149</xdr:row>
      <xdr:rowOff>4980</xdr:rowOff>
    </xdr:from>
    <xdr:to>
      <xdr:col>3</xdr:col>
      <xdr:colOff>597647</xdr:colOff>
      <xdr:row>149</xdr:row>
      <xdr:rowOff>149412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2792746-5514-B06F-B519-208EC8FA4B28}"/>
            </a:ext>
          </a:extLst>
        </xdr:cNvPr>
        <xdr:cNvCxnSpPr/>
      </xdr:nvCxnSpPr>
      <xdr:spPr>
        <a:xfrm flipH="1" flipV="1">
          <a:off x="13542189294" y="2841313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507999</xdr:colOff>
      <xdr:row>149</xdr:row>
      <xdr:rowOff>14941</xdr:rowOff>
    </xdr:from>
    <xdr:to>
      <xdr:col>3</xdr:col>
      <xdr:colOff>577725</xdr:colOff>
      <xdr:row>149</xdr:row>
      <xdr:rowOff>154392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083B620-FB94-83D0-D462-E10184D23FBA}"/>
            </a:ext>
          </a:extLst>
        </xdr:cNvPr>
        <xdr:cNvCxnSpPr/>
      </xdr:nvCxnSpPr>
      <xdr:spPr>
        <a:xfrm flipV="1">
          <a:off x="13542209216" y="2842309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493058</xdr:colOff>
      <xdr:row>149</xdr:row>
      <xdr:rowOff>9960</xdr:rowOff>
    </xdr:from>
    <xdr:to>
      <xdr:col>3</xdr:col>
      <xdr:colOff>512980</xdr:colOff>
      <xdr:row>149</xdr:row>
      <xdr:rowOff>154392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F808ED7-D740-D7A5-790D-BA52A43D4F17}"/>
            </a:ext>
          </a:extLst>
        </xdr:cNvPr>
        <xdr:cNvCxnSpPr/>
      </xdr:nvCxnSpPr>
      <xdr:spPr>
        <a:xfrm flipH="1" flipV="1">
          <a:off x="13542273961" y="2841811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413372</xdr:colOff>
      <xdr:row>149</xdr:row>
      <xdr:rowOff>9960</xdr:rowOff>
    </xdr:from>
    <xdr:to>
      <xdr:col>3</xdr:col>
      <xdr:colOff>483098</xdr:colOff>
      <xdr:row>149</xdr:row>
      <xdr:rowOff>149411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E75340F-4668-D9B7-261A-38A7A87D0CF1}"/>
            </a:ext>
          </a:extLst>
        </xdr:cNvPr>
        <xdr:cNvCxnSpPr/>
      </xdr:nvCxnSpPr>
      <xdr:spPr>
        <a:xfrm flipV="1">
          <a:off x="13542303843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398431</xdr:colOff>
      <xdr:row>149</xdr:row>
      <xdr:rowOff>4979</xdr:rowOff>
    </xdr:from>
    <xdr:to>
      <xdr:col>3</xdr:col>
      <xdr:colOff>418353</xdr:colOff>
      <xdr:row>149</xdr:row>
      <xdr:rowOff>149411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7CF23CA-F208-DD9F-5318-8567050E5E67}"/>
            </a:ext>
          </a:extLst>
        </xdr:cNvPr>
        <xdr:cNvCxnSpPr/>
      </xdr:nvCxnSpPr>
      <xdr:spPr>
        <a:xfrm flipH="1" flipV="1">
          <a:off x="13542368588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333686</xdr:colOff>
      <xdr:row>149</xdr:row>
      <xdr:rowOff>9960</xdr:rowOff>
    </xdr:from>
    <xdr:to>
      <xdr:col>3</xdr:col>
      <xdr:colOff>403412</xdr:colOff>
      <xdr:row>149</xdr:row>
      <xdr:rowOff>149411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D9CC309-B166-3221-D035-FD327F7A8883}"/>
            </a:ext>
          </a:extLst>
        </xdr:cNvPr>
        <xdr:cNvCxnSpPr/>
      </xdr:nvCxnSpPr>
      <xdr:spPr>
        <a:xfrm flipV="1">
          <a:off x="13542383529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318745</xdr:colOff>
      <xdr:row>149</xdr:row>
      <xdr:rowOff>4979</xdr:rowOff>
    </xdr:from>
    <xdr:to>
      <xdr:col>3</xdr:col>
      <xdr:colOff>338667</xdr:colOff>
      <xdr:row>149</xdr:row>
      <xdr:rowOff>149411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C0921A2C-ECC5-DC54-51DD-92CDBB384B79}"/>
            </a:ext>
          </a:extLst>
        </xdr:cNvPr>
        <xdr:cNvCxnSpPr/>
      </xdr:nvCxnSpPr>
      <xdr:spPr>
        <a:xfrm flipH="1" flipV="1">
          <a:off x="13542448274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308784</xdr:colOff>
      <xdr:row>149</xdr:row>
      <xdr:rowOff>139451</xdr:rowOff>
    </xdr:from>
    <xdr:to>
      <xdr:col>3</xdr:col>
      <xdr:colOff>672353</xdr:colOff>
      <xdr:row>149</xdr:row>
      <xdr:rowOff>139451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F4059E1-FB40-3250-2342-BC94A7F99C48}"/>
            </a:ext>
          </a:extLst>
        </xdr:cNvPr>
        <xdr:cNvCxnSpPr/>
      </xdr:nvCxnSpPr>
      <xdr:spPr>
        <a:xfrm>
          <a:off x="13542114588" y="28547608"/>
          <a:ext cx="363569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376695</xdr:colOff>
      <xdr:row>196</xdr:row>
      <xdr:rowOff>177585</xdr:rowOff>
    </xdr:from>
    <xdr:to>
      <xdr:col>6</xdr:col>
      <xdr:colOff>382076</xdr:colOff>
      <xdr:row>209</xdr:row>
      <xdr:rowOff>80720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EDA278F-5A04-B021-C46B-5DC80CF4F424}"/>
            </a:ext>
          </a:extLst>
        </xdr:cNvPr>
        <xdr:cNvCxnSpPr/>
      </xdr:nvCxnSpPr>
      <xdr:spPr>
        <a:xfrm flipH="1" flipV="1">
          <a:off x="13484294958" y="37400424"/>
          <a:ext cx="5381" cy="235165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597330</xdr:colOff>
      <xdr:row>205</xdr:row>
      <xdr:rowOff>113008</xdr:rowOff>
    </xdr:from>
    <xdr:to>
      <xdr:col>6</xdr:col>
      <xdr:colOff>651144</xdr:colOff>
      <xdr:row>205</xdr:row>
      <xdr:rowOff>123771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4C7217D-7355-27C7-41A3-6544F27DF7D4}"/>
            </a:ext>
          </a:extLst>
        </xdr:cNvPr>
        <xdr:cNvCxnSpPr/>
      </xdr:nvCxnSpPr>
      <xdr:spPr>
        <a:xfrm flipV="1">
          <a:off x="13484025890" y="39030974"/>
          <a:ext cx="3309534" cy="107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107628</xdr:colOff>
      <xdr:row>200</xdr:row>
      <xdr:rowOff>48432</xdr:rowOff>
    </xdr:from>
    <xdr:to>
      <xdr:col>6</xdr:col>
      <xdr:colOff>371315</xdr:colOff>
      <xdr:row>207</xdr:row>
      <xdr:rowOff>80721</xdr:rowOff>
    </xdr:to>
    <xdr:sp macro="" textlink="">
      <xdr:nvSpPr>
        <xdr:cNvPr id="56" name="Freeform 55">
          <a:extLst>
            <a:ext uri="{FF2B5EF4-FFF2-40B4-BE49-F238E27FC236}">
              <a16:creationId xmlns:a16="http://schemas.microsoft.com/office/drawing/2014/main" id="{DD4270B4-D2C3-1BCC-37E8-B8DD17F64FC8}"/>
            </a:ext>
          </a:extLst>
        </xdr:cNvPr>
        <xdr:cNvSpPr/>
      </xdr:nvSpPr>
      <xdr:spPr>
        <a:xfrm>
          <a:off x="13484305719" y="38024661"/>
          <a:ext cx="2733729" cy="1350721"/>
        </a:xfrm>
        <a:custGeom>
          <a:avLst/>
          <a:gdLst>
            <a:gd name="connsiteX0" fmla="*/ 0 w 2776780"/>
            <a:gd name="connsiteY0" fmla="*/ 0 h 1329195"/>
            <a:gd name="connsiteX1" fmla="*/ 1156991 w 2776780"/>
            <a:gd name="connsiteY1" fmla="*/ 1017077 h 1329195"/>
            <a:gd name="connsiteX2" fmla="*/ 2776780 w 2776780"/>
            <a:gd name="connsiteY2" fmla="*/ 1329195 h 13291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776780" h="1329195">
              <a:moveTo>
                <a:pt x="0" y="0"/>
              </a:moveTo>
              <a:cubicBezTo>
                <a:pt x="347097" y="397772"/>
                <a:pt x="694194" y="795545"/>
                <a:pt x="1156991" y="1017077"/>
              </a:cubicBezTo>
              <a:cubicBezTo>
                <a:pt x="1619788" y="1238610"/>
                <a:pt x="2198284" y="1283902"/>
                <a:pt x="2776780" y="1329195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182966</xdr:colOff>
      <xdr:row>197</xdr:row>
      <xdr:rowOff>139916</xdr:rowOff>
    </xdr:from>
    <xdr:to>
      <xdr:col>6</xdr:col>
      <xdr:colOff>398220</xdr:colOff>
      <xdr:row>208</xdr:row>
      <xdr:rowOff>139916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029F0287-49A3-7967-426B-55AF4C12EB0C}"/>
            </a:ext>
          </a:extLst>
        </xdr:cNvPr>
        <xdr:cNvSpPr/>
      </xdr:nvSpPr>
      <xdr:spPr>
        <a:xfrm>
          <a:off x="13484278814" y="37551102"/>
          <a:ext cx="1861949" cy="2071822"/>
        </a:xfrm>
        <a:custGeom>
          <a:avLst/>
          <a:gdLst>
            <a:gd name="connsiteX0" fmla="*/ 0 w 1861949"/>
            <a:gd name="connsiteY0" fmla="*/ 0 h 2071822"/>
            <a:gd name="connsiteX1" fmla="*/ 527372 w 1861949"/>
            <a:gd name="connsiteY1" fmla="*/ 1173135 h 2071822"/>
            <a:gd name="connsiteX2" fmla="*/ 1861949 w 1861949"/>
            <a:gd name="connsiteY2" fmla="*/ 2071822 h 20718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61949" h="2071822">
              <a:moveTo>
                <a:pt x="0" y="0"/>
              </a:moveTo>
              <a:cubicBezTo>
                <a:pt x="108523" y="413915"/>
                <a:pt x="217047" y="827831"/>
                <a:pt x="527372" y="1173135"/>
              </a:cubicBezTo>
              <a:cubicBezTo>
                <a:pt x="837697" y="1518439"/>
                <a:pt x="1349823" y="1795130"/>
                <a:pt x="1861949" y="207182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188348</xdr:colOff>
      <xdr:row>201</xdr:row>
      <xdr:rowOff>102246</xdr:rowOff>
    </xdr:from>
    <xdr:to>
      <xdr:col>6</xdr:col>
      <xdr:colOff>382076</xdr:colOff>
      <xdr:row>201</xdr:row>
      <xdr:rowOff>107627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E2EE3129-FB75-94E8-4E1C-71B1FE8CC805}"/>
            </a:ext>
          </a:extLst>
        </xdr:cNvPr>
        <xdr:cNvCxnSpPr/>
      </xdr:nvCxnSpPr>
      <xdr:spPr>
        <a:xfrm flipH="1" flipV="1">
          <a:off x="13484294958" y="38266822"/>
          <a:ext cx="193728" cy="53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139915</xdr:colOff>
      <xdr:row>201</xdr:row>
      <xdr:rowOff>123771</xdr:rowOff>
    </xdr:from>
    <xdr:to>
      <xdr:col>6</xdr:col>
      <xdr:colOff>166822</xdr:colOff>
      <xdr:row>205</xdr:row>
      <xdr:rowOff>118390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B1CCEAAE-161E-8AD2-E3DB-1EDCD9610C70}"/>
            </a:ext>
          </a:extLst>
        </xdr:cNvPr>
        <xdr:cNvCxnSpPr/>
      </xdr:nvCxnSpPr>
      <xdr:spPr>
        <a:xfrm>
          <a:off x="13484510212" y="38288347"/>
          <a:ext cx="26907" cy="7480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661907</xdr:colOff>
      <xdr:row>204</xdr:row>
      <xdr:rowOff>139915</xdr:rowOff>
    </xdr:from>
    <xdr:to>
      <xdr:col>5</xdr:col>
      <xdr:colOff>48432</xdr:colOff>
      <xdr:row>205</xdr:row>
      <xdr:rowOff>91483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B8B70C52-9377-BEBE-DC70-F191037BE3BE}"/>
            </a:ext>
          </a:extLst>
        </xdr:cNvPr>
        <xdr:cNvCxnSpPr/>
      </xdr:nvCxnSpPr>
      <xdr:spPr>
        <a:xfrm flipH="1">
          <a:off x="13485451949" y="38869534"/>
          <a:ext cx="209873" cy="1399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780297</xdr:colOff>
      <xdr:row>206</xdr:row>
      <xdr:rowOff>129152</xdr:rowOff>
    </xdr:from>
    <xdr:to>
      <xdr:col>6</xdr:col>
      <xdr:colOff>156059</xdr:colOff>
      <xdr:row>207</xdr:row>
      <xdr:rowOff>123771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0BB5D6D9-C907-E56C-6EBA-3E741B2F5388}"/>
            </a:ext>
          </a:extLst>
        </xdr:cNvPr>
        <xdr:cNvSpPr/>
      </xdr:nvSpPr>
      <xdr:spPr>
        <a:xfrm rot="16200000">
          <a:off x="13484940721" y="38815720"/>
          <a:ext cx="182966" cy="1022457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529490</xdr:colOff>
      <xdr:row>239</xdr:row>
      <xdr:rowOff>85443</xdr:rowOff>
    </xdr:from>
    <xdr:to>
      <xdr:col>4</xdr:col>
      <xdr:colOff>436562</xdr:colOff>
      <xdr:row>239</xdr:row>
      <xdr:rowOff>87313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64AC512-2163-7FAD-DC78-6858767E2537}"/>
            </a:ext>
          </a:extLst>
        </xdr:cNvPr>
        <xdr:cNvCxnSpPr>
          <a:stCxn id="9" idx="2"/>
        </xdr:cNvCxnSpPr>
      </xdr:nvCxnSpPr>
      <xdr:spPr>
        <a:xfrm flipH="1">
          <a:off x="13521142313" y="45995943"/>
          <a:ext cx="732572" cy="18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666752</xdr:colOff>
      <xdr:row>236</xdr:row>
      <xdr:rowOff>34925</xdr:rowOff>
    </xdr:from>
    <xdr:ext cx="619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850E3C0-EE93-7A14-227A-A24322B215CD}"/>
                </a:ext>
              </a:extLst>
            </xdr:cNvPr>
            <xdr:cNvSpPr txBox="1"/>
          </xdr:nvSpPr>
          <xdr:spPr>
            <a:xfrm rot="2675774">
              <a:off x="13521118498" y="45373925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&gt;0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9850E3C0-EE93-7A14-227A-A24322B215CD}"/>
                </a:ext>
              </a:extLst>
            </xdr:cNvPr>
            <xdr:cNvSpPr txBox="1"/>
          </xdr:nvSpPr>
          <xdr:spPr>
            <a:xfrm rot="2675774">
              <a:off x="13521118498" y="45373925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𝑁𝑃𝑉&gt;0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3</xdr:col>
      <xdr:colOff>563564</xdr:colOff>
      <xdr:row>239</xdr:row>
      <xdr:rowOff>138113</xdr:rowOff>
    </xdr:from>
    <xdr:ext cx="619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DCA70DD-EDD4-EAE2-DD77-622EA9B27CB3}"/>
                </a:ext>
              </a:extLst>
            </xdr:cNvPr>
            <xdr:cNvSpPr txBox="1"/>
          </xdr:nvSpPr>
          <xdr:spPr>
            <a:xfrm>
              <a:off x="13521221686" y="46048613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&lt;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𝐼𝑅𝑅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DDCA70DD-EDD4-EAE2-DD77-622EA9B27CB3}"/>
                </a:ext>
              </a:extLst>
            </xdr:cNvPr>
            <xdr:cNvSpPr txBox="1"/>
          </xdr:nvSpPr>
          <xdr:spPr>
            <a:xfrm>
              <a:off x="13521221686" y="46048613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𝑟𝑎𝑡𝑒&lt;𝐼𝑅𝑅</a:t>
              </a:r>
              <a:endParaRPr lang="en-US" sz="900"/>
            </a:p>
          </xdr:txBody>
        </xdr:sp>
      </mc:Fallback>
    </mc:AlternateContent>
    <xdr:clientData/>
  </xdr:oneCellAnchor>
  <xdr:twoCellAnchor>
    <xdr:from>
      <xdr:col>1</xdr:col>
      <xdr:colOff>682626</xdr:colOff>
      <xdr:row>238</xdr:row>
      <xdr:rowOff>134938</xdr:rowOff>
    </xdr:from>
    <xdr:to>
      <xdr:col>3</xdr:col>
      <xdr:colOff>222250</xdr:colOff>
      <xdr:row>238</xdr:row>
      <xdr:rowOff>142875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8DE12AC9-9518-CFD9-2198-A6613437CB76}"/>
            </a:ext>
          </a:extLst>
        </xdr:cNvPr>
        <xdr:cNvCxnSpPr/>
      </xdr:nvCxnSpPr>
      <xdr:spPr>
        <a:xfrm>
          <a:off x="13522182125" y="45854938"/>
          <a:ext cx="1150937" cy="79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63502</xdr:colOff>
      <xdr:row>238</xdr:row>
      <xdr:rowOff>169862</xdr:rowOff>
    </xdr:from>
    <xdr:ext cx="619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70631AB-A1D0-8089-667E-FD9D72A1EBF1}"/>
                </a:ext>
              </a:extLst>
            </xdr:cNvPr>
            <xdr:cNvSpPr txBox="1"/>
          </xdr:nvSpPr>
          <xdr:spPr>
            <a:xfrm>
              <a:off x="13522507561" y="45889862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&gt;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𝐼𝑅𝑅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A70631AB-A1D0-8089-667E-FD9D72A1EBF1}"/>
                </a:ext>
              </a:extLst>
            </xdr:cNvPr>
            <xdr:cNvSpPr txBox="1"/>
          </xdr:nvSpPr>
          <xdr:spPr>
            <a:xfrm>
              <a:off x="13522507561" y="45889862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𝑟𝑎𝑡𝑒&gt;𝐼𝑅𝑅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2</xdr:col>
      <xdr:colOff>3</xdr:colOff>
      <xdr:row>240</xdr:row>
      <xdr:rowOff>66675</xdr:rowOff>
    </xdr:from>
    <xdr:ext cx="619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1D3F2EC1-9054-FEDD-A683-241DC9F834FD}"/>
                </a:ext>
              </a:extLst>
            </xdr:cNvPr>
            <xdr:cNvSpPr txBox="1"/>
          </xdr:nvSpPr>
          <xdr:spPr>
            <a:xfrm rot="1020660">
              <a:off x="13522571060" y="46183550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900" b="0" i="1">
                        <a:latin typeface="Cambria Math" panose="02040503050406030204" pitchFamily="18" charset="0"/>
                      </a:rPr>
                      <m:t>&lt;0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1D3F2EC1-9054-FEDD-A683-241DC9F834FD}"/>
                </a:ext>
              </a:extLst>
            </xdr:cNvPr>
            <xdr:cNvSpPr txBox="1"/>
          </xdr:nvSpPr>
          <xdr:spPr>
            <a:xfrm rot="1020660">
              <a:off x="13522571060" y="46183550"/>
              <a:ext cx="619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𝑁𝑃𝑉&lt;0</a:t>
              </a:r>
              <a:endParaRPr lang="en-US" sz="900"/>
            </a:p>
          </xdr:txBody>
        </xdr:sp>
      </mc:Fallback>
    </mc:AlternateContent>
    <xdr:clientData/>
  </xdr:oneCellAnchor>
  <xdr:twoCellAnchor editAs="oneCell">
    <xdr:from>
      <xdr:col>10</xdr:col>
      <xdr:colOff>444501</xdr:colOff>
      <xdr:row>260</xdr:row>
      <xdr:rowOff>127000</xdr:rowOff>
    </xdr:from>
    <xdr:to>
      <xdr:col>12</xdr:col>
      <xdr:colOff>99596</xdr:colOff>
      <xdr:row>265</xdr:row>
      <xdr:rowOff>174625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C1731089-E5B0-C9ED-36AB-C3449B0BD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4946717" y="50053875"/>
          <a:ext cx="1179095" cy="1000125"/>
        </a:xfrm>
        <a:prstGeom prst="rect">
          <a:avLst/>
        </a:prstGeom>
      </xdr:spPr>
    </xdr:pic>
    <xdr:clientData/>
  </xdr:twoCellAnchor>
  <xdr:twoCellAnchor>
    <xdr:from>
      <xdr:col>12</xdr:col>
      <xdr:colOff>111125</xdr:colOff>
      <xdr:row>254</xdr:row>
      <xdr:rowOff>111125</xdr:rowOff>
    </xdr:from>
    <xdr:to>
      <xdr:col>15</xdr:col>
      <xdr:colOff>579437</xdr:colOff>
      <xdr:row>264</xdr:row>
      <xdr:rowOff>87313</xdr:rowOff>
    </xdr:to>
    <xdr:sp macro="" textlink="">
      <xdr:nvSpPr>
        <xdr:cNvPr id="65" name="Rounded Rectangular Callout 64">
          <a:extLst>
            <a:ext uri="{FF2B5EF4-FFF2-40B4-BE49-F238E27FC236}">
              <a16:creationId xmlns:a16="http://schemas.microsoft.com/office/drawing/2014/main" id="{B8036910-ECF3-5165-048E-BEA020CDF076}"/>
            </a:ext>
          </a:extLst>
        </xdr:cNvPr>
        <xdr:cNvSpPr/>
      </xdr:nvSpPr>
      <xdr:spPr>
        <a:xfrm>
          <a:off x="13512030063" y="48895000"/>
          <a:ext cx="2905125" cy="1881188"/>
        </a:xfrm>
        <a:prstGeom prst="wedgeRoundRectCallout">
          <a:avLst>
            <a:gd name="adj1" fmla="val 55883"/>
            <a:gd name="adj2" fmla="val 325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היה נדרש לבחור בפרויקט בודד וזה הכל, ללא שילובים וללא השקעה בין חלקי פרויקטים, כלל ההכרעה היה פשוט: נחשב</a:t>
          </a:r>
          <a:r>
            <a:rPr lang="he-IL" sz="1100" baseline="0"/>
            <a:t> </a:t>
          </a:r>
          <a:r>
            <a:rPr lang="en-US" sz="1100" baseline="0"/>
            <a:t>NPV </a:t>
          </a:r>
          <a:r>
            <a:rPr lang="he-IL" sz="1100" baseline="0"/>
            <a:t> לכל פרויקט, ונבחר בזה שה-</a:t>
          </a:r>
          <a:r>
            <a:rPr lang="en-US" sz="1100" baseline="0"/>
            <a:t>NPV</a:t>
          </a:r>
          <a:r>
            <a:rPr lang="he-IL" sz="1100" baseline="0"/>
            <a:t> שלו הוא הגבוה ביותר.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כאן - זה לא המצב. אפשר לייצר מיקס מהפרויקטים - המטרה לייצר ״סל״ פרויקטים שבסך הכל ייתן את ה-</a:t>
          </a:r>
          <a:r>
            <a:rPr lang="en-US" sz="1100" baseline="0"/>
            <a:t>NPV</a:t>
          </a:r>
          <a:r>
            <a:rPr lang="he-IL" sz="1100" baseline="0"/>
            <a:t> הכי גבוה שאפשר להגיע אליו. </a:t>
          </a:r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10</xdr:col>
      <xdr:colOff>254001</xdr:colOff>
      <xdr:row>287</xdr:row>
      <xdr:rowOff>66675</xdr:rowOff>
    </xdr:from>
    <xdr:ext cx="1519356" cy="31579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F87B2C6-8540-4735-CC2E-CC78769C12D3}"/>
                </a:ext>
              </a:extLst>
            </xdr:cNvPr>
            <xdr:cNvSpPr txBox="1"/>
          </xdr:nvSpPr>
          <xdr:spPr>
            <a:xfrm>
              <a:off x="13514796956" y="56367363"/>
              <a:ext cx="1519356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𝑃𝐼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𝑁𝑃𝑉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𝐼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7" name="TextBox 66">
              <a:extLst>
                <a:ext uri="{FF2B5EF4-FFF2-40B4-BE49-F238E27FC236}">
                  <a16:creationId xmlns:a16="http://schemas.microsoft.com/office/drawing/2014/main" id="{AF87B2C6-8540-4735-CC2E-CC78769C12D3}"/>
                </a:ext>
              </a:extLst>
            </xdr:cNvPr>
            <xdr:cNvSpPr txBox="1"/>
          </xdr:nvSpPr>
          <xdr:spPr>
            <a:xfrm>
              <a:off x="13514796956" y="56367363"/>
              <a:ext cx="1519356" cy="31579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𝑃𝐼=𝑁𝑃𝑉/𝐼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190500</xdr:colOff>
      <xdr:row>284</xdr:row>
      <xdr:rowOff>0</xdr:rowOff>
    </xdr:from>
    <xdr:to>
      <xdr:col>11</xdr:col>
      <xdr:colOff>508000</xdr:colOff>
      <xdr:row>286</xdr:row>
      <xdr:rowOff>174625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9F3A022A-17B8-F079-44B4-34433FB3002D}"/>
            </a:ext>
          </a:extLst>
        </xdr:cNvPr>
        <xdr:cNvCxnSpPr/>
      </xdr:nvCxnSpPr>
      <xdr:spPr>
        <a:xfrm flipH="1" flipV="1">
          <a:off x="13515363813" y="55729188"/>
          <a:ext cx="317500" cy="555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206375</xdr:colOff>
      <xdr:row>289</xdr:row>
      <xdr:rowOff>31750</xdr:rowOff>
    </xdr:from>
    <xdr:to>
      <xdr:col>11</xdr:col>
      <xdr:colOff>547688</xdr:colOff>
      <xdr:row>290</xdr:row>
      <xdr:rowOff>166687</xdr:rowOff>
    </xdr:to>
    <xdr:cxnSp macro="">
      <xdr:nvCxnSpPr>
        <xdr:cNvPr id="70" name="Straight Arrow Connector 69">
          <a:extLst>
            <a:ext uri="{FF2B5EF4-FFF2-40B4-BE49-F238E27FC236}">
              <a16:creationId xmlns:a16="http://schemas.microsoft.com/office/drawing/2014/main" id="{5B78F962-DC24-FE87-12CA-AB4836DD1180}"/>
            </a:ext>
          </a:extLst>
        </xdr:cNvPr>
        <xdr:cNvCxnSpPr/>
      </xdr:nvCxnSpPr>
      <xdr:spPr>
        <a:xfrm flipH="1">
          <a:off x="13515324125" y="56713438"/>
          <a:ext cx="341313" cy="3254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658812</xdr:colOff>
      <xdr:row>288</xdr:row>
      <xdr:rowOff>39688</xdr:rowOff>
    </xdr:from>
    <xdr:to>
      <xdr:col>12</xdr:col>
      <xdr:colOff>690563</xdr:colOff>
      <xdr:row>288</xdr:row>
      <xdr:rowOff>79375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BFBE6FD8-B1FF-1ADE-1E7A-6A446983EA9C}"/>
            </a:ext>
          </a:extLst>
        </xdr:cNvPr>
        <xdr:cNvCxnSpPr/>
      </xdr:nvCxnSpPr>
      <xdr:spPr>
        <a:xfrm flipH="1">
          <a:off x="13514355750" y="56530876"/>
          <a:ext cx="857251" cy="396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1206500</xdr:colOff>
      <xdr:row>277</xdr:row>
      <xdr:rowOff>452438</xdr:rowOff>
    </xdr:from>
    <xdr:to>
      <xdr:col>10</xdr:col>
      <xdr:colOff>619125</xdr:colOff>
      <xdr:row>277</xdr:row>
      <xdr:rowOff>1000125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141B1514-76DE-DE5A-2AEB-F9239F35D34B}"/>
            </a:ext>
          </a:extLst>
        </xdr:cNvPr>
        <xdr:cNvCxnSpPr/>
      </xdr:nvCxnSpPr>
      <xdr:spPr>
        <a:xfrm flipH="1">
          <a:off x="13515951188" y="53617813"/>
          <a:ext cx="1944687" cy="547687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1246187</xdr:colOff>
      <xdr:row>299</xdr:row>
      <xdr:rowOff>134938</xdr:rowOff>
    </xdr:from>
    <xdr:to>
      <xdr:col>8</xdr:col>
      <xdr:colOff>238125</xdr:colOff>
      <xdr:row>301</xdr:row>
      <xdr:rowOff>79375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DBDFF37-3386-7E4F-5CC9-D8486136956A}"/>
            </a:ext>
          </a:extLst>
        </xdr:cNvPr>
        <xdr:cNvCxnSpPr/>
      </xdr:nvCxnSpPr>
      <xdr:spPr>
        <a:xfrm flipH="1">
          <a:off x="13517514875" y="58935938"/>
          <a:ext cx="341313" cy="3254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1008062</xdr:colOff>
      <xdr:row>297</xdr:row>
      <xdr:rowOff>95250</xdr:rowOff>
    </xdr:from>
    <xdr:to>
      <xdr:col>8</xdr:col>
      <xdr:colOff>87312</xdr:colOff>
      <xdr:row>299</xdr:row>
      <xdr:rowOff>31750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7C45264D-7390-439A-273E-323897BC71B8}"/>
            </a:ext>
          </a:extLst>
        </xdr:cNvPr>
        <xdr:cNvCxnSpPr/>
      </xdr:nvCxnSpPr>
      <xdr:spPr>
        <a:xfrm flipH="1" flipV="1">
          <a:off x="13517665688" y="58515250"/>
          <a:ext cx="428625" cy="317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269875</xdr:colOff>
      <xdr:row>299</xdr:row>
      <xdr:rowOff>166688</xdr:rowOff>
    </xdr:from>
    <xdr:to>
      <xdr:col>7</xdr:col>
      <xdr:colOff>619125</xdr:colOff>
      <xdr:row>300</xdr:row>
      <xdr:rowOff>182563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EECF2A9A-304C-C128-2024-32A7DB3FA47F}"/>
            </a:ext>
          </a:extLst>
        </xdr:cNvPr>
        <xdr:cNvCxnSpPr/>
      </xdr:nvCxnSpPr>
      <xdr:spPr>
        <a:xfrm>
          <a:off x="13518483250" y="58967688"/>
          <a:ext cx="349250" cy="206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198437</xdr:colOff>
      <xdr:row>297</xdr:row>
      <xdr:rowOff>7938</xdr:rowOff>
    </xdr:from>
    <xdr:to>
      <xdr:col>14</xdr:col>
      <xdr:colOff>603250</xdr:colOff>
      <xdr:row>306</xdr:row>
      <xdr:rowOff>31750</xdr:rowOff>
    </xdr:to>
    <xdr:sp macro="" textlink="">
      <xdr:nvSpPr>
        <xdr:cNvPr id="84" name="Left Brace 83">
          <a:extLst>
            <a:ext uri="{FF2B5EF4-FFF2-40B4-BE49-F238E27FC236}">
              <a16:creationId xmlns:a16="http://schemas.microsoft.com/office/drawing/2014/main" id="{3E30F927-234E-3D71-CB66-95A44B9C9926}"/>
            </a:ext>
          </a:extLst>
        </xdr:cNvPr>
        <xdr:cNvSpPr/>
      </xdr:nvSpPr>
      <xdr:spPr>
        <a:xfrm>
          <a:off x="13512831750" y="58427938"/>
          <a:ext cx="404813" cy="976312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423334</xdr:colOff>
      <xdr:row>469</xdr:row>
      <xdr:rowOff>1682</xdr:rowOff>
    </xdr:from>
    <xdr:to>
      <xdr:col>7</xdr:col>
      <xdr:colOff>204612</xdr:colOff>
      <xdr:row>476</xdr:row>
      <xdr:rowOff>32456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C2DE3B8A-2C02-AD5F-891F-99BC1312D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8895999" y="91152404"/>
          <a:ext cx="2257778" cy="136427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102</xdr:row>
      <xdr:rowOff>73025</xdr:rowOff>
    </xdr:from>
    <xdr:to>
      <xdr:col>7</xdr:col>
      <xdr:colOff>583046</xdr:colOff>
      <xdr:row>122</xdr:row>
      <xdr:rowOff>95546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151</xdr:row>
      <xdr:rowOff>76200</xdr:rowOff>
    </xdr:from>
    <xdr:to>
      <xdr:col>7</xdr:col>
      <xdr:colOff>554398</xdr:colOff>
      <xdr:row>172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173</xdr:row>
      <xdr:rowOff>47625</xdr:rowOff>
    </xdr:from>
    <xdr:to>
      <xdr:col>7</xdr:col>
      <xdr:colOff>533608</xdr:colOff>
      <xdr:row>179</xdr:row>
      <xdr:rowOff>33869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214</xdr:row>
      <xdr:rowOff>104775</xdr:rowOff>
    </xdr:from>
    <xdr:to>
      <xdr:col>7</xdr:col>
      <xdr:colOff>430647</xdr:colOff>
      <xdr:row>226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263</xdr:row>
      <xdr:rowOff>70909</xdr:rowOff>
    </xdr:from>
    <xdr:to>
      <xdr:col>7</xdr:col>
      <xdr:colOff>560821</xdr:colOff>
      <xdr:row>278</xdr:row>
      <xdr:rowOff>137301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308</xdr:row>
      <xdr:rowOff>19051</xdr:rowOff>
    </xdr:from>
    <xdr:to>
      <xdr:col>7</xdr:col>
      <xdr:colOff>587579</xdr:colOff>
      <xdr:row>323</xdr:row>
      <xdr:rowOff>160868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369</xdr:row>
      <xdr:rowOff>48683</xdr:rowOff>
    </xdr:from>
    <xdr:to>
      <xdr:col>7</xdr:col>
      <xdr:colOff>566113</xdr:colOff>
      <xdr:row>386</xdr:row>
      <xdr:rowOff>27854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416</xdr:row>
      <xdr:rowOff>6350</xdr:rowOff>
    </xdr:from>
    <xdr:to>
      <xdr:col>7</xdr:col>
      <xdr:colOff>566113</xdr:colOff>
      <xdr:row>431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529</xdr:row>
      <xdr:rowOff>22147</xdr:rowOff>
    </xdr:from>
    <xdr:to>
      <xdr:col>7</xdr:col>
      <xdr:colOff>566113</xdr:colOff>
      <xdr:row>543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571</xdr:row>
      <xdr:rowOff>37043</xdr:rowOff>
    </xdr:from>
    <xdr:to>
      <xdr:col>7</xdr:col>
      <xdr:colOff>587529</xdr:colOff>
      <xdr:row>584</xdr:row>
      <xdr:rowOff>186266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615</xdr:row>
      <xdr:rowOff>66675</xdr:rowOff>
    </xdr:from>
    <xdr:to>
      <xdr:col>7</xdr:col>
      <xdr:colOff>587280</xdr:colOff>
      <xdr:row>629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665</xdr:row>
      <xdr:rowOff>91016</xdr:rowOff>
    </xdr:from>
    <xdr:to>
      <xdr:col>8</xdr:col>
      <xdr:colOff>3079</xdr:colOff>
      <xdr:row>678</xdr:row>
      <xdr:rowOff>58492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801</xdr:row>
      <xdr:rowOff>76200</xdr:rowOff>
    </xdr:from>
    <xdr:to>
      <xdr:col>8</xdr:col>
      <xdr:colOff>1678</xdr:colOff>
      <xdr:row>811</xdr:row>
      <xdr:rowOff>118533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145</xdr:row>
      <xdr:rowOff>177800</xdr:rowOff>
    </xdr:from>
    <xdr:to>
      <xdr:col>4</xdr:col>
      <xdr:colOff>25400</xdr:colOff>
      <xdr:row>147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145</xdr:row>
      <xdr:rowOff>194733</xdr:rowOff>
    </xdr:from>
    <xdr:to>
      <xdr:col>3</xdr:col>
      <xdr:colOff>42334</xdr:colOff>
      <xdr:row>147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241</xdr:row>
      <xdr:rowOff>118534</xdr:rowOff>
    </xdr:from>
    <xdr:to>
      <xdr:col>3</xdr:col>
      <xdr:colOff>8467</xdr:colOff>
      <xdr:row>241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288</xdr:row>
      <xdr:rowOff>135466</xdr:rowOff>
    </xdr:from>
    <xdr:to>
      <xdr:col>3</xdr:col>
      <xdr:colOff>67734</xdr:colOff>
      <xdr:row>290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288</xdr:row>
      <xdr:rowOff>160866</xdr:rowOff>
    </xdr:from>
    <xdr:to>
      <xdr:col>2</xdr:col>
      <xdr:colOff>33867</xdr:colOff>
      <xdr:row>290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334</xdr:row>
      <xdr:rowOff>33866</xdr:rowOff>
    </xdr:from>
    <xdr:to>
      <xdr:col>3</xdr:col>
      <xdr:colOff>16934</xdr:colOff>
      <xdr:row>335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396</xdr:row>
      <xdr:rowOff>33866</xdr:rowOff>
    </xdr:from>
    <xdr:to>
      <xdr:col>3</xdr:col>
      <xdr:colOff>16934</xdr:colOff>
      <xdr:row>397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396</xdr:row>
      <xdr:rowOff>33866</xdr:rowOff>
    </xdr:from>
    <xdr:to>
      <xdr:col>2</xdr:col>
      <xdr:colOff>16934</xdr:colOff>
      <xdr:row>397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596</xdr:row>
      <xdr:rowOff>152400</xdr:rowOff>
    </xdr:from>
    <xdr:to>
      <xdr:col>3</xdr:col>
      <xdr:colOff>59267</xdr:colOff>
      <xdr:row>598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726</xdr:row>
      <xdr:rowOff>120750</xdr:rowOff>
    </xdr:from>
    <xdr:to>
      <xdr:col>8</xdr:col>
      <xdr:colOff>770</xdr:colOff>
      <xdr:row>736</xdr:row>
      <xdr:rowOff>138954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342</xdr:row>
      <xdr:rowOff>132773</xdr:rowOff>
    </xdr:from>
    <xdr:to>
      <xdr:col>3</xdr:col>
      <xdr:colOff>5773</xdr:colOff>
      <xdr:row>343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349</xdr:row>
      <xdr:rowOff>138546</xdr:rowOff>
    </xdr:from>
    <xdr:to>
      <xdr:col>3</xdr:col>
      <xdr:colOff>11546</xdr:colOff>
      <xdr:row>350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351</xdr:row>
      <xdr:rowOff>5773</xdr:rowOff>
    </xdr:from>
    <xdr:to>
      <xdr:col>2</xdr:col>
      <xdr:colOff>254000</xdr:colOff>
      <xdr:row>351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37910</xdr:colOff>
      <xdr:row>214</xdr:row>
      <xdr:rowOff>94776</xdr:rowOff>
    </xdr:from>
    <xdr:to>
      <xdr:col>19</xdr:col>
      <xdr:colOff>129337</xdr:colOff>
      <xdr:row>224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225</xdr:row>
      <xdr:rowOff>80560</xdr:rowOff>
    </xdr:from>
    <xdr:to>
      <xdr:col>17</xdr:col>
      <xdr:colOff>309413</xdr:colOff>
      <xdr:row>247</xdr:row>
      <xdr:rowOff>52761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226</xdr:row>
      <xdr:rowOff>66344</xdr:rowOff>
    </xdr:from>
    <xdr:to>
      <xdr:col>19</xdr:col>
      <xdr:colOff>71081</xdr:colOff>
      <xdr:row>227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227</xdr:row>
      <xdr:rowOff>52127</xdr:rowOff>
    </xdr:from>
    <xdr:to>
      <xdr:col>19</xdr:col>
      <xdr:colOff>61603</xdr:colOff>
      <xdr:row>228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423</xdr:row>
      <xdr:rowOff>112990</xdr:rowOff>
    </xdr:from>
    <xdr:to>
      <xdr:col>13</xdr:col>
      <xdr:colOff>90391</xdr:colOff>
      <xdr:row>423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429</xdr:row>
      <xdr:rowOff>112990</xdr:rowOff>
    </xdr:from>
    <xdr:to>
      <xdr:col>13</xdr:col>
      <xdr:colOff>90391</xdr:colOff>
      <xdr:row>429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695158</xdr:colOff>
      <xdr:row>110</xdr:row>
      <xdr:rowOff>100262</xdr:rowOff>
    </xdr:from>
    <xdr:to>
      <xdr:col>11</xdr:col>
      <xdr:colOff>113632</xdr:colOff>
      <xdr:row>111</xdr:row>
      <xdr:rowOff>73525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5D53FDD5-DB3B-F094-6D27-244E3698B7B5}"/>
            </a:ext>
          </a:extLst>
        </xdr:cNvPr>
        <xdr:cNvCxnSpPr/>
      </xdr:nvCxnSpPr>
      <xdr:spPr>
        <a:xfrm flipV="1">
          <a:off x="11053431631" y="6403473"/>
          <a:ext cx="233948" cy="173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554789</xdr:colOff>
      <xdr:row>110</xdr:row>
      <xdr:rowOff>147052</xdr:rowOff>
    </xdr:from>
    <xdr:to>
      <xdr:col>10</xdr:col>
      <xdr:colOff>66843</xdr:colOff>
      <xdr:row>111</xdr:row>
      <xdr:rowOff>86894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575D78A-A011-8C43-9DF6-1503A3A5ED36}"/>
            </a:ext>
          </a:extLst>
        </xdr:cNvPr>
        <xdr:cNvCxnSpPr/>
      </xdr:nvCxnSpPr>
      <xdr:spPr>
        <a:xfrm flipV="1">
          <a:off x="11054293894" y="6450263"/>
          <a:ext cx="187159" cy="1403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534736</xdr:colOff>
      <xdr:row>111</xdr:row>
      <xdr:rowOff>120315</xdr:rowOff>
    </xdr:from>
    <xdr:to>
      <xdr:col>9</xdr:col>
      <xdr:colOff>26738</xdr:colOff>
      <xdr:row>111</xdr:row>
      <xdr:rowOff>120316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4B739C6A-F2F1-3B4A-8A65-9CDC875E0D66}"/>
            </a:ext>
          </a:extLst>
        </xdr:cNvPr>
        <xdr:cNvCxnSpPr/>
      </xdr:nvCxnSpPr>
      <xdr:spPr>
        <a:xfrm>
          <a:off x="11055009104" y="6624052"/>
          <a:ext cx="167107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112265</xdr:colOff>
      <xdr:row>452</xdr:row>
      <xdr:rowOff>32587</xdr:rowOff>
    </xdr:from>
    <xdr:ext cx="3172767" cy="35432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81AF3F92-19A3-753E-E888-ED42001642F0}"/>
                </a:ext>
              </a:extLst>
            </xdr:cNvPr>
            <xdr:cNvSpPr txBox="1"/>
          </xdr:nvSpPr>
          <xdr:spPr>
            <a:xfrm>
              <a:off x="11031295907" y="87732753"/>
              <a:ext cx="3172767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−1=6.1364%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81AF3F92-19A3-753E-E888-ED42001642F0}"/>
                </a:ext>
              </a:extLst>
            </xdr:cNvPr>
            <xdr:cNvSpPr txBox="1"/>
          </xdr:nvSpPr>
          <xdr:spPr>
            <a:xfrm>
              <a:off x="11031295907" y="87732753"/>
              <a:ext cx="3172767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r>
                <a:rPr lang="he-IL" sz="1100" b="0" i="0">
                  <a:latin typeface="Cambria Math" panose="02040503050406030204" pitchFamily="18" charset="0"/>
                </a:rPr>
                <a:t>(1+(6%)/4)^4−1=6.1364%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456080</xdr:colOff>
      <xdr:row>470</xdr:row>
      <xdr:rowOff>111141</xdr:rowOff>
    </xdr:from>
    <xdr:ext cx="3079447" cy="34669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64ADDDD0-7AF1-59C6-29AA-4D3A787C2F97}"/>
                </a:ext>
              </a:extLst>
            </xdr:cNvPr>
            <xdr:cNvSpPr txBox="1"/>
          </xdr:nvSpPr>
          <xdr:spPr>
            <a:xfrm>
              <a:off x="11031880385" y="91221362"/>
              <a:ext cx="3079447" cy="346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𝐹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𝐹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0.94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0" name="TextBox 19">
              <a:extLst>
                <a:ext uri="{FF2B5EF4-FFF2-40B4-BE49-F238E27FC236}">
                  <a16:creationId xmlns:a16="http://schemas.microsoft.com/office/drawing/2014/main" id="{64ADDDD0-7AF1-59C6-29AA-4D3A787C2F97}"/>
                </a:ext>
              </a:extLst>
            </xdr:cNvPr>
            <xdr:cNvSpPr txBox="1"/>
          </xdr:nvSpPr>
          <xdr:spPr>
            <a:xfrm>
              <a:off x="11031880385" y="91221362"/>
              <a:ext cx="3079447" cy="3466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𝑟_𝑒=(𝐶𝐹_1)/(𝐶𝐹_0 )−1→𝑟_𝑒=1/0.94−1=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470113</xdr:colOff>
      <xdr:row>476</xdr:row>
      <xdr:rowOff>111141</xdr:rowOff>
    </xdr:from>
    <xdr:ext cx="3079447" cy="324641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B287980-4894-4942-A2CC-F82E03075924}"/>
                </a:ext>
              </a:extLst>
            </xdr:cNvPr>
            <xdr:cNvSpPr txBox="1"/>
          </xdr:nvSpPr>
          <xdr:spPr>
            <a:xfrm>
              <a:off x="11031866352" y="92358047"/>
              <a:ext cx="3079447" cy="3246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𝑑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1−6%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5B287980-4894-4942-A2CC-F82E03075924}"/>
                </a:ext>
              </a:extLst>
            </xdr:cNvPr>
            <xdr:cNvSpPr txBox="1"/>
          </xdr:nvSpPr>
          <xdr:spPr>
            <a:xfrm>
              <a:off x="11031866352" y="92358047"/>
              <a:ext cx="3079447" cy="3246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</a:t>
              </a:r>
              <a:r>
                <a:rPr lang="he-IL" sz="1100" b="0" i="0">
                  <a:latin typeface="Cambria Math" panose="02040503050406030204" pitchFamily="18" charset="0"/>
                </a:rPr>
                <a:t>1/(1−</a:t>
              </a:r>
              <a:r>
                <a:rPr lang="en-US" sz="1100" b="0" i="0">
                  <a:latin typeface="Cambria Math" panose="02040503050406030204" pitchFamily="18" charset="0"/>
                </a:rPr>
                <a:t>𝑑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−1→𝑟_𝑒=1/(1−6%)−1=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526243</xdr:colOff>
      <xdr:row>487</xdr:row>
      <xdr:rowOff>5892</xdr:rowOff>
    </xdr:from>
    <xdr:ext cx="4644146" cy="17498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D6F087AF-AAD1-4887-52C2-2E44A414C7BD}"/>
                </a:ext>
              </a:extLst>
            </xdr:cNvPr>
            <xdr:cNvSpPr txBox="1"/>
          </xdr:nvSpPr>
          <xdr:spPr>
            <a:xfrm>
              <a:off x="11031010329" y="94336721"/>
              <a:ext cx="4644146" cy="1749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sSub>
                              <m:sSub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𝑟</m:t>
                                </m:r>
                              </m:e>
                              <m:sub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𝑚𝑜𝑛𝑡h</m:t>
                                </m:r>
                              </m:sub>
                            </m:sSub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1+0.55%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D6F087AF-AAD1-4887-52C2-2E44A414C7BD}"/>
                </a:ext>
              </a:extLst>
            </xdr:cNvPr>
            <xdr:cNvSpPr txBox="1"/>
          </xdr:nvSpPr>
          <xdr:spPr>
            <a:xfrm>
              <a:off x="11031010329" y="94336721"/>
              <a:ext cx="4644146" cy="1749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𝑎𝑛𝑛𝑢𝑎𝑙)=(1+𝑟_𝑚𝑜𝑛𝑡ℎ )^12−1→𝑟_𝑒 (𝑎𝑛𝑛𝑢𝑎𝑙)=(1+0.55%)^12−1=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308729</xdr:colOff>
      <xdr:row>500</xdr:row>
      <xdr:rowOff>118352</xdr:rowOff>
    </xdr:from>
    <xdr:to>
      <xdr:col>6</xdr:col>
      <xdr:colOff>385912</xdr:colOff>
      <xdr:row>502</xdr:row>
      <xdr:rowOff>0</xdr:rowOff>
    </xdr:to>
    <xdr:sp macro="" textlink="">
      <xdr:nvSpPr>
        <xdr:cNvPr id="43" name="Freeform 42">
          <a:extLst>
            <a:ext uri="{FF2B5EF4-FFF2-40B4-BE49-F238E27FC236}">
              <a16:creationId xmlns:a16="http://schemas.microsoft.com/office/drawing/2014/main" id="{FB741036-7297-2BCE-0F23-3AD030A54630}"/>
            </a:ext>
          </a:extLst>
        </xdr:cNvPr>
        <xdr:cNvSpPr/>
      </xdr:nvSpPr>
      <xdr:spPr>
        <a:xfrm>
          <a:off x="11031970773" y="97136529"/>
          <a:ext cx="1473481" cy="260543"/>
        </a:xfrm>
        <a:custGeom>
          <a:avLst/>
          <a:gdLst>
            <a:gd name="connsiteX0" fmla="*/ 0 w 1473481"/>
            <a:gd name="connsiteY0" fmla="*/ 190377 h 260543"/>
            <a:gd name="connsiteX1" fmla="*/ 750774 w 1473481"/>
            <a:gd name="connsiteY1" fmla="*/ 930 h 260543"/>
            <a:gd name="connsiteX2" fmla="*/ 1473481 w 1473481"/>
            <a:gd name="connsiteY2" fmla="*/ 260543 h 2605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73481" h="260543">
              <a:moveTo>
                <a:pt x="0" y="190377"/>
              </a:moveTo>
              <a:cubicBezTo>
                <a:pt x="252597" y="89806"/>
                <a:pt x="505194" y="-10764"/>
                <a:pt x="750774" y="930"/>
              </a:cubicBezTo>
              <a:cubicBezTo>
                <a:pt x="996354" y="12624"/>
                <a:pt x="1234917" y="136583"/>
                <a:pt x="1473481" y="26054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392929</xdr:colOff>
      <xdr:row>499</xdr:row>
      <xdr:rowOff>6087</xdr:rowOff>
    </xdr:from>
    <xdr:to>
      <xdr:col>6</xdr:col>
      <xdr:colOff>385912</xdr:colOff>
      <xdr:row>501</xdr:row>
      <xdr:rowOff>14033</xdr:rowOff>
    </xdr:to>
    <xdr:sp macro="" textlink="">
      <xdr:nvSpPr>
        <xdr:cNvPr id="45" name="Freeform 44">
          <a:extLst>
            <a:ext uri="{FF2B5EF4-FFF2-40B4-BE49-F238E27FC236}">
              <a16:creationId xmlns:a16="http://schemas.microsoft.com/office/drawing/2014/main" id="{12AFE383-FD56-EE3D-42F1-5F7CB78A710F}"/>
            </a:ext>
          </a:extLst>
        </xdr:cNvPr>
        <xdr:cNvSpPr/>
      </xdr:nvSpPr>
      <xdr:spPr>
        <a:xfrm>
          <a:off x="11031970773" y="96834816"/>
          <a:ext cx="3052210" cy="386841"/>
        </a:xfrm>
        <a:custGeom>
          <a:avLst/>
          <a:gdLst>
            <a:gd name="connsiteX0" fmla="*/ 0 w 1473481"/>
            <a:gd name="connsiteY0" fmla="*/ 190377 h 260543"/>
            <a:gd name="connsiteX1" fmla="*/ 750774 w 1473481"/>
            <a:gd name="connsiteY1" fmla="*/ 930 h 260543"/>
            <a:gd name="connsiteX2" fmla="*/ 1473481 w 1473481"/>
            <a:gd name="connsiteY2" fmla="*/ 260543 h 2605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73481" h="260543">
              <a:moveTo>
                <a:pt x="0" y="190377"/>
              </a:moveTo>
              <a:cubicBezTo>
                <a:pt x="252597" y="89806"/>
                <a:pt x="505194" y="-10764"/>
                <a:pt x="750774" y="930"/>
              </a:cubicBezTo>
              <a:cubicBezTo>
                <a:pt x="996354" y="12624"/>
                <a:pt x="1234917" y="136583"/>
                <a:pt x="1473481" y="26054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371879</xdr:colOff>
      <xdr:row>497</xdr:row>
      <xdr:rowOff>174290</xdr:rowOff>
    </xdr:from>
    <xdr:ext cx="4644146" cy="17498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4CC97979-84F1-C511-32C4-D6D1179A0863}"/>
                </a:ext>
              </a:extLst>
            </xdr:cNvPr>
            <xdr:cNvSpPr txBox="1"/>
          </xdr:nvSpPr>
          <xdr:spPr>
            <a:xfrm>
              <a:off x="11031164693" y="96624124"/>
              <a:ext cx="4644146" cy="1749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6" name="TextBox 45">
              <a:extLst>
                <a:ext uri="{FF2B5EF4-FFF2-40B4-BE49-F238E27FC236}">
                  <a16:creationId xmlns:a16="http://schemas.microsoft.com/office/drawing/2014/main" id="{4CC97979-84F1-C511-32C4-D6D1179A0863}"/>
                </a:ext>
              </a:extLst>
            </xdr:cNvPr>
            <xdr:cNvSpPr txBox="1"/>
          </xdr:nvSpPr>
          <xdr:spPr>
            <a:xfrm>
              <a:off x="11031164693" y="96624124"/>
              <a:ext cx="4644146" cy="17498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𝑅=2%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329779</xdr:colOff>
      <xdr:row>500</xdr:row>
      <xdr:rowOff>146418</xdr:rowOff>
    </xdr:from>
    <xdr:to>
      <xdr:col>4</xdr:col>
      <xdr:colOff>140331</xdr:colOff>
      <xdr:row>502</xdr:row>
      <xdr:rowOff>28066</xdr:rowOff>
    </xdr:to>
    <xdr:sp macro="" textlink="">
      <xdr:nvSpPr>
        <xdr:cNvPr id="48" name="Freeform 47">
          <a:extLst>
            <a:ext uri="{FF2B5EF4-FFF2-40B4-BE49-F238E27FC236}">
              <a16:creationId xmlns:a16="http://schemas.microsoft.com/office/drawing/2014/main" id="{33F3E5E5-A45A-B2FA-ECAD-BC18D05E9879}"/>
            </a:ext>
          </a:extLst>
        </xdr:cNvPr>
        <xdr:cNvSpPr/>
      </xdr:nvSpPr>
      <xdr:spPr>
        <a:xfrm>
          <a:off x="11033612652" y="97164595"/>
          <a:ext cx="1473481" cy="260543"/>
        </a:xfrm>
        <a:custGeom>
          <a:avLst/>
          <a:gdLst>
            <a:gd name="connsiteX0" fmla="*/ 0 w 1473481"/>
            <a:gd name="connsiteY0" fmla="*/ 190377 h 260543"/>
            <a:gd name="connsiteX1" fmla="*/ 750774 w 1473481"/>
            <a:gd name="connsiteY1" fmla="*/ 930 h 260543"/>
            <a:gd name="connsiteX2" fmla="*/ 1473481 w 1473481"/>
            <a:gd name="connsiteY2" fmla="*/ 260543 h 26054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473481" h="260543">
              <a:moveTo>
                <a:pt x="0" y="190377"/>
              </a:moveTo>
              <a:cubicBezTo>
                <a:pt x="252597" y="89806"/>
                <a:pt x="505194" y="-10764"/>
                <a:pt x="750774" y="930"/>
              </a:cubicBezTo>
              <a:cubicBezTo>
                <a:pt x="996354" y="12624"/>
                <a:pt x="1234917" y="136583"/>
                <a:pt x="1473481" y="26054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406964</xdr:colOff>
      <xdr:row>500</xdr:row>
      <xdr:rowOff>146223</xdr:rowOff>
    </xdr:from>
    <xdr:ext cx="4644146" cy="31739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E6F1C9E2-1062-B6A9-B2EC-21969EE8316A}"/>
                </a:ext>
              </a:extLst>
            </xdr:cNvPr>
            <xdr:cNvSpPr txBox="1"/>
          </xdr:nvSpPr>
          <xdr:spPr>
            <a:xfrm>
              <a:off x="11030364802" y="97164400"/>
              <a:ext cx="4644146" cy="31739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E6F1C9E2-1062-B6A9-B2EC-21969EE8316A}"/>
                </a:ext>
              </a:extLst>
            </xdr:cNvPr>
            <xdr:cNvSpPr txBox="1"/>
          </xdr:nvSpPr>
          <xdr:spPr>
            <a:xfrm>
              <a:off x="11030364802" y="97164400"/>
              <a:ext cx="4644146" cy="31739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𝑅/𝑛=(2%)/2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778841</xdr:colOff>
      <xdr:row>501</xdr:row>
      <xdr:rowOff>5893</xdr:rowOff>
    </xdr:from>
    <xdr:ext cx="4644146" cy="31739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FDF593D0-CB71-1B70-B7C7-90D02DEB4591}"/>
                </a:ext>
              </a:extLst>
            </xdr:cNvPr>
            <xdr:cNvSpPr txBox="1"/>
          </xdr:nvSpPr>
          <xdr:spPr>
            <a:xfrm>
              <a:off x="11032013698" y="97213517"/>
              <a:ext cx="4644146" cy="31739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𝑅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FDF593D0-CB71-1B70-B7C7-90D02DEB4591}"/>
                </a:ext>
              </a:extLst>
            </xdr:cNvPr>
            <xdr:cNvSpPr txBox="1"/>
          </xdr:nvSpPr>
          <xdr:spPr>
            <a:xfrm>
              <a:off x="11032013698" y="97213517"/>
              <a:ext cx="4644146" cy="31739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𝑅/𝑛=(2%)/2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547292</xdr:colOff>
      <xdr:row>505</xdr:row>
      <xdr:rowOff>119282</xdr:rowOff>
    </xdr:from>
    <xdr:to>
      <xdr:col>5</xdr:col>
      <xdr:colOff>666574</xdr:colOff>
      <xdr:row>505</xdr:row>
      <xdr:rowOff>119282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20D3A482-6AE0-E6E6-F682-029771BDDE8D}"/>
            </a:ext>
          </a:extLst>
        </xdr:cNvPr>
        <xdr:cNvCxnSpPr/>
      </xdr:nvCxnSpPr>
      <xdr:spPr>
        <a:xfrm>
          <a:off x="11032363702" y="98084696"/>
          <a:ext cx="841989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42099</xdr:colOff>
      <xdr:row>505</xdr:row>
      <xdr:rowOff>105249</xdr:rowOff>
    </xdr:from>
    <xdr:to>
      <xdr:col>4</xdr:col>
      <xdr:colOff>56132</xdr:colOff>
      <xdr:row>505</xdr:row>
      <xdr:rowOff>105249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71672BBC-C466-7E14-AEEB-8D00572484C9}"/>
            </a:ext>
          </a:extLst>
        </xdr:cNvPr>
        <xdr:cNvCxnSpPr/>
      </xdr:nvCxnSpPr>
      <xdr:spPr>
        <a:xfrm>
          <a:off x="11033696851" y="98070663"/>
          <a:ext cx="841989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680608</xdr:colOff>
      <xdr:row>512</xdr:row>
      <xdr:rowOff>12911</xdr:rowOff>
    </xdr:from>
    <xdr:ext cx="2728619" cy="350160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5CD90B9-50D2-64AB-C9C1-A11FEB9331D6}"/>
                </a:ext>
              </a:extLst>
            </xdr:cNvPr>
            <xdr:cNvSpPr txBox="1"/>
          </xdr:nvSpPr>
          <xdr:spPr>
            <a:xfrm>
              <a:off x="11032006685" y="99304458"/>
              <a:ext cx="2728619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𝐹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𝐶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𝐹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1.0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302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0.96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4" name="TextBox 53">
              <a:extLst>
                <a:ext uri="{FF2B5EF4-FFF2-40B4-BE49-F238E27FC236}">
                  <a16:creationId xmlns:a16="http://schemas.microsoft.com/office/drawing/2014/main" id="{D5CD90B9-50D2-64AB-C9C1-A11FEB9331D6}"/>
                </a:ext>
              </a:extLst>
            </xdr:cNvPr>
            <xdr:cNvSpPr txBox="1"/>
          </xdr:nvSpPr>
          <xdr:spPr>
            <a:xfrm>
              <a:off x="11032006685" y="99304458"/>
              <a:ext cx="2728619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𝑟_𝑒=(𝐶𝐹_1)/(𝐶𝐹_0 )−1→𝑟_𝑒=1.0302/0.96−1=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687624</xdr:colOff>
      <xdr:row>518</xdr:row>
      <xdr:rowOff>21049</xdr:rowOff>
    </xdr:from>
    <xdr:to>
      <xdr:col>7</xdr:col>
      <xdr:colOff>287680</xdr:colOff>
      <xdr:row>525</xdr:row>
      <xdr:rowOff>105247</xdr:rowOff>
    </xdr:to>
    <xdr:sp macro="" textlink="">
      <xdr:nvSpPr>
        <xdr:cNvPr id="55" name="Rounded Rectangular Callout 54">
          <a:extLst>
            <a:ext uri="{FF2B5EF4-FFF2-40B4-BE49-F238E27FC236}">
              <a16:creationId xmlns:a16="http://schemas.microsoft.com/office/drawing/2014/main" id="{5D347BFD-68EF-1448-DF23-21F235AAA013}"/>
            </a:ext>
          </a:extLst>
        </xdr:cNvPr>
        <xdr:cNvSpPr/>
      </xdr:nvSpPr>
      <xdr:spPr>
        <a:xfrm>
          <a:off x="11031395414" y="100449281"/>
          <a:ext cx="2497901" cy="1410331"/>
        </a:xfrm>
        <a:prstGeom prst="wedgeRoundRectCallout">
          <a:avLst>
            <a:gd name="adj1" fmla="val 77763"/>
            <a:gd name="adj2" fmla="val -435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כשדנים בעסקאות לנטילת הלוואה תועדף החלופה הנושאת את הריבית האפקטיבית הנמוכה ביותר - </a:t>
          </a:r>
          <a:r>
            <a:rPr lang="he-IL" sz="1100" u="sng"/>
            <a:t>כלומר יש להעדיף את חלופה 1</a:t>
          </a:r>
          <a:r>
            <a:rPr lang="he-IL" sz="1100"/>
            <a:t>. (הערה - אם היה מדובר בחסכון, היתה מועדפת החלופה שבה הריבית האפקטיבית היא הגובהה ביותר). </a:t>
          </a:r>
          <a:endParaRPr lang="en-US" sz="1100"/>
        </a:p>
      </xdr:txBody>
    </xdr:sp>
    <xdr:clientData/>
  </xdr:twoCellAnchor>
  <xdr:twoCellAnchor>
    <xdr:from>
      <xdr:col>9</xdr:col>
      <xdr:colOff>329779</xdr:colOff>
      <xdr:row>534</xdr:row>
      <xdr:rowOff>124074</xdr:rowOff>
    </xdr:from>
    <xdr:to>
      <xdr:col>13</xdr:col>
      <xdr:colOff>301712</xdr:colOff>
      <xdr:row>536</xdr:row>
      <xdr:rowOff>154365</xdr:rowOff>
    </xdr:to>
    <xdr:sp macro="" textlink="">
      <xdr:nvSpPr>
        <xdr:cNvPr id="56" name="Freeform 55">
          <a:extLst>
            <a:ext uri="{FF2B5EF4-FFF2-40B4-BE49-F238E27FC236}">
              <a16:creationId xmlns:a16="http://schemas.microsoft.com/office/drawing/2014/main" id="{CDD6E0BD-4185-1AF8-3B34-E472D34E8D04}"/>
            </a:ext>
          </a:extLst>
        </xdr:cNvPr>
        <xdr:cNvSpPr/>
      </xdr:nvSpPr>
      <xdr:spPr>
        <a:xfrm>
          <a:off x="11027150387" y="103204571"/>
          <a:ext cx="2855746" cy="409186"/>
        </a:xfrm>
        <a:custGeom>
          <a:avLst/>
          <a:gdLst>
            <a:gd name="connsiteX0" fmla="*/ 0 w 2855746"/>
            <a:gd name="connsiteY0" fmla="*/ 275871 h 409186"/>
            <a:gd name="connsiteX1" fmla="*/ 1291049 w 2855746"/>
            <a:gd name="connsiteY1" fmla="*/ 2225 h 409186"/>
            <a:gd name="connsiteX2" fmla="*/ 2855746 w 2855746"/>
            <a:gd name="connsiteY2" fmla="*/ 409186 h 40918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855746" h="409186">
              <a:moveTo>
                <a:pt x="0" y="275871"/>
              </a:moveTo>
              <a:cubicBezTo>
                <a:pt x="407545" y="127938"/>
                <a:pt x="815091" y="-19994"/>
                <a:pt x="1291049" y="2225"/>
              </a:cubicBezTo>
              <a:cubicBezTo>
                <a:pt x="1767007" y="24444"/>
                <a:pt x="2311376" y="216815"/>
                <a:pt x="2855746" y="409186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10</xdr:col>
      <xdr:colOff>701658</xdr:colOff>
      <xdr:row>533</xdr:row>
      <xdr:rowOff>76059</xdr:rowOff>
    </xdr:from>
    <xdr:ext cx="1023591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D01672B-0878-00A0-6A41-6AD62CBD01FC}"/>
                </a:ext>
              </a:extLst>
            </xdr:cNvPr>
            <xdr:cNvSpPr txBox="1"/>
          </xdr:nvSpPr>
          <xdr:spPr>
            <a:xfrm>
              <a:off x="11027937071" y="103346004"/>
              <a:ext cx="102359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=4.8%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ED01672B-0878-00A0-6A41-6AD62CBD01FC}"/>
                </a:ext>
              </a:extLst>
            </xdr:cNvPr>
            <xdr:cNvSpPr txBox="1"/>
          </xdr:nvSpPr>
          <xdr:spPr>
            <a:xfrm>
              <a:off x="11027937071" y="103346004"/>
              <a:ext cx="102359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𝑅=4.8%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11</xdr:col>
      <xdr:colOff>533260</xdr:colOff>
      <xdr:row>535</xdr:row>
      <xdr:rowOff>138107</xdr:rowOff>
    </xdr:from>
    <xdr:to>
      <xdr:col>13</xdr:col>
      <xdr:colOff>385911</xdr:colOff>
      <xdr:row>537</xdr:row>
      <xdr:rowOff>21050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2D483D97-1140-9CCC-5827-56551934B643}"/>
            </a:ext>
          </a:extLst>
        </xdr:cNvPr>
        <xdr:cNvSpPr/>
      </xdr:nvSpPr>
      <xdr:spPr>
        <a:xfrm>
          <a:off x="11027066188" y="103786947"/>
          <a:ext cx="1248950" cy="261838"/>
        </a:xfrm>
        <a:custGeom>
          <a:avLst/>
          <a:gdLst>
            <a:gd name="connsiteX0" fmla="*/ 0 w 2855746"/>
            <a:gd name="connsiteY0" fmla="*/ 275871 h 409186"/>
            <a:gd name="connsiteX1" fmla="*/ 1291049 w 2855746"/>
            <a:gd name="connsiteY1" fmla="*/ 2225 h 409186"/>
            <a:gd name="connsiteX2" fmla="*/ 2855746 w 2855746"/>
            <a:gd name="connsiteY2" fmla="*/ 409186 h 40918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855746" h="409186">
              <a:moveTo>
                <a:pt x="0" y="275871"/>
              </a:moveTo>
              <a:cubicBezTo>
                <a:pt x="407545" y="127938"/>
                <a:pt x="815091" y="-19994"/>
                <a:pt x="1291049" y="2225"/>
              </a:cubicBezTo>
              <a:cubicBezTo>
                <a:pt x="1767007" y="24444"/>
                <a:pt x="2311376" y="216815"/>
                <a:pt x="2855746" y="40918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12</xdr:col>
      <xdr:colOff>14034</xdr:colOff>
      <xdr:row>535</xdr:row>
      <xdr:rowOff>188325</xdr:rowOff>
    </xdr:from>
    <xdr:ext cx="1023591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FDD00F-FFD6-72BD-8830-3E4E0900BFEB}"/>
                </a:ext>
              </a:extLst>
            </xdr:cNvPr>
            <xdr:cNvSpPr txBox="1"/>
          </xdr:nvSpPr>
          <xdr:spPr>
            <a:xfrm>
              <a:off x="11027088066" y="103837165"/>
              <a:ext cx="102359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𝑅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=2.4%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59" name="TextBox 58">
              <a:extLst>
                <a:ext uri="{FF2B5EF4-FFF2-40B4-BE49-F238E27FC236}">
                  <a16:creationId xmlns:a16="http://schemas.microsoft.com/office/drawing/2014/main" id="{18FDD00F-FFD6-72BD-8830-3E4E0900BFEB}"/>
                </a:ext>
              </a:extLst>
            </xdr:cNvPr>
            <xdr:cNvSpPr txBox="1"/>
          </xdr:nvSpPr>
          <xdr:spPr>
            <a:xfrm>
              <a:off x="11027088066" y="103837165"/>
              <a:ext cx="102359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𝑅=2.4%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9</xdr:col>
      <xdr:colOff>343812</xdr:colOff>
      <xdr:row>551</xdr:row>
      <xdr:rowOff>111143</xdr:rowOff>
    </xdr:from>
    <xdr:ext cx="2707570" cy="33592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62625014-91FF-65DC-DB0F-51444AEAC152}"/>
                </a:ext>
              </a:extLst>
            </xdr:cNvPr>
            <xdr:cNvSpPr txBox="1"/>
          </xdr:nvSpPr>
          <xdr:spPr>
            <a:xfrm>
              <a:off x="11027284530" y="106791143"/>
              <a:ext cx="2707570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102,170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98,500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62625014-91FF-65DC-DB0F-51444AEAC152}"/>
                </a:ext>
              </a:extLst>
            </xdr:cNvPr>
            <xdr:cNvSpPr txBox="1"/>
          </xdr:nvSpPr>
          <xdr:spPr>
            <a:xfrm>
              <a:off x="11027284530" y="106791143"/>
              <a:ext cx="2707570" cy="33592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(0.5 𝑦𝑒𝑎𝑟𝑠)=102,170/98,500−1=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10</xdr:col>
      <xdr:colOff>119280</xdr:colOff>
      <xdr:row>557</xdr:row>
      <xdr:rowOff>5895</xdr:rowOff>
    </xdr:from>
    <xdr:ext cx="4146796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0DE26A29-8592-5F50-5FAF-E92BAE11E571}"/>
                </a:ext>
              </a:extLst>
            </xdr:cNvPr>
            <xdr:cNvSpPr txBox="1"/>
          </xdr:nvSpPr>
          <xdr:spPr>
            <a:xfrm>
              <a:off x="11025396244" y="107822580"/>
              <a:ext cx="414679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𝑒</m:t>
                            </m:r>
                          </m:sub>
                        </m:sSub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𝑎𝑛𝑛𝑢𝑎𝑙</m:t>
                            </m:r>
                          </m:e>
                        </m:d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=[1+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0.5 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]^2 −1=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(1+3.726%)^2−1=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0DE26A29-8592-5F50-5FAF-E92BAE11E571}"/>
                </a:ext>
              </a:extLst>
            </xdr:cNvPr>
            <xdr:cNvSpPr txBox="1"/>
          </xdr:nvSpPr>
          <xdr:spPr>
            <a:xfrm>
              <a:off x="11025396244" y="107822580"/>
              <a:ext cx="414679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〖𝑟_𝑒 (𝑎𝑛𝑛𝑢𝑎𝑙)=[1+𝑟〗_𝑒 (0.5 𝑦𝑒𝑎𝑟𝑠)]^2 −1=</a:t>
              </a:r>
              <a:r>
                <a:rPr lang="he-IL" sz="1100" b="0" i="0">
                  <a:latin typeface="Cambria Math" panose="02040503050406030204" pitchFamily="18" charset="0"/>
                </a:rPr>
                <a:t>(1+3.726%)^2−1=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762000</xdr:colOff>
      <xdr:row>100</xdr:row>
      <xdr:rowOff>135467</xdr:rowOff>
    </xdr:from>
    <xdr:to>
      <xdr:col>8</xdr:col>
      <xdr:colOff>46567</xdr:colOff>
      <xdr:row>101</xdr:row>
      <xdr:rowOff>169334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B730FE26-8E90-6984-D673-9D93F26E3966}"/>
            </a:ext>
          </a:extLst>
        </xdr:cNvPr>
        <xdr:cNvCxnSpPr/>
      </xdr:nvCxnSpPr>
      <xdr:spPr>
        <a:xfrm flipH="1" flipV="1">
          <a:off x="13518341433" y="19401367"/>
          <a:ext cx="110067" cy="237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448733</xdr:colOff>
      <xdr:row>100</xdr:row>
      <xdr:rowOff>198967</xdr:rowOff>
    </xdr:from>
    <xdr:to>
      <xdr:col>7</xdr:col>
      <xdr:colOff>529167</xdr:colOff>
      <xdr:row>102</xdr:row>
      <xdr:rowOff>4234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C5A3F42-7C20-8965-A34C-EACA34F86576}"/>
            </a:ext>
          </a:extLst>
        </xdr:cNvPr>
        <xdr:cNvCxnSpPr/>
      </xdr:nvCxnSpPr>
      <xdr:spPr>
        <a:xfrm flipV="1">
          <a:off x="13518684333" y="19464867"/>
          <a:ext cx="80434" cy="2116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100</xdr:row>
      <xdr:rowOff>25400</xdr:rowOff>
    </xdr:from>
    <xdr:to>
      <xdr:col>7</xdr:col>
      <xdr:colOff>237067</xdr:colOff>
      <xdr:row>101</xdr:row>
      <xdr:rowOff>186267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A20A352-EA0E-C446-DF07-CD874E9B694B}"/>
            </a:ext>
          </a:extLst>
        </xdr:cNvPr>
        <xdr:cNvCxnSpPr/>
      </xdr:nvCxnSpPr>
      <xdr:spPr>
        <a:xfrm flipV="1">
          <a:off x="13518976433" y="19291300"/>
          <a:ext cx="567267" cy="36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73972</xdr:colOff>
      <xdr:row>241</xdr:row>
      <xdr:rowOff>108062</xdr:rowOff>
    </xdr:from>
    <xdr:to>
      <xdr:col>2</xdr:col>
      <xdr:colOff>766234</xdr:colOff>
      <xdr:row>241</xdr:row>
      <xdr:rowOff>118534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9CD3A38-29A7-9612-4253-11890C831C83}"/>
            </a:ext>
          </a:extLst>
        </xdr:cNvPr>
        <xdr:cNvCxnSpPr/>
      </xdr:nvCxnSpPr>
      <xdr:spPr>
        <a:xfrm flipH="1">
          <a:off x="13522600166" y="47009162"/>
          <a:ext cx="692262" cy="104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3232</xdr:colOff>
      <xdr:row>241</xdr:row>
      <xdr:rowOff>1728</xdr:rowOff>
    </xdr:from>
    <xdr:ext cx="759885" cy="125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783167</xdr:colOff>
      <xdr:row>241</xdr:row>
      <xdr:rowOff>16933</xdr:rowOff>
    </xdr:from>
    <xdr:to>
      <xdr:col>1</xdr:col>
      <xdr:colOff>118533</xdr:colOff>
      <xdr:row>241</xdr:row>
      <xdr:rowOff>182033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4C6DB9C0-9DBB-E2A5-C173-83A480715361}"/>
            </a:ext>
          </a:extLst>
        </xdr:cNvPr>
        <xdr:cNvSpPr/>
      </xdr:nvSpPr>
      <xdr:spPr>
        <a:xfrm>
          <a:off x="13524073367" y="46918033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1</xdr:col>
      <xdr:colOff>440267</xdr:colOff>
      <xdr:row>242</xdr:row>
      <xdr:rowOff>21167</xdr:rowOff>
    </xdr:from>
    <xdr:to>
      <xdr:col>1</xdr:col>
      <xdr:colOff>440267</xdr:colOff>
      <xdr:row>243</xdr:row>
      <xdr:rowOff>12700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321BF5F-0802-C6EB-6994-4A67DAEB6379}"/>
            </a:ext>
          </a:extLst>
        </xdr:cNvPr>
        <xdr:cNvCxnSpPr/>
      </xdr:nvCxnSpPr>
      <xdr:spPr>
        <a:xfrm>
          <a:off x="13523751633" y="47125467"/>
          <a:ext cx="0" cy="18203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448733</xdr:colOff>
      <xdr:row>242</xdr:row>
      <xdr:rowOff>177800</xdr:rowOff>
    </xdr:from>
    <xdr:to>
      <xdr:col>6</xdr:col>
      <xdr:colOff>220133</xdr:colOff>
      <xdr:row>243</xdr:row>
      <xdr:rowOff>8467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E8C94C85-97E7-57B7-C265-E27DCC7D4B67}"/>
            </a:ext>
          </a:extLst>
        </xdr:cNvPr>
        <xdr:cNvCxnSpPr/>
      </xdr:nvCxnSpPr>
      <xdr:spPr>
        <a:xfrm flipH="1" flipV="1">
          <a:off x="13519818867" y="47282100"/>
          <a:ext cx="3924300" cy="21167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240</xdr:row>
      <xdr:rowOff>105833</xdr:rowOff>
    </xdr:from>
    <xdr:to>
      <xdr:col>6</xdr:col>
      <xdr:colOff>220134</xdr:colOff>
      <xdr:row>242</xdr:row>
      <xdr:rowOff>182033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5C0879A-DEDD-6A68-BAC4-5038001678EC}"/>
            </a:ext>
          </a:extLst>
        </xdr:cNvPr>
        <xdr:cNvCxnSpPr/>
      </xdr:nvCxnSpPr>
      <xdr:spPr>
        <a:xfrm flipH="1">
          <a:off x="13519818866" y="46803733"/>
          <a:ext cx="4234" cy="48260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812800</xdr:colOff>
      <xdr:row>240</xdr:row>
      <xdr:rowOff>105833</xdr:rowOff>
    </xdr:from>
    <xdr:to>
      <xdr:col>6</xdr:col>
      <xdr:colOff>220133</xdr:colOff>
      <xdr:row>240</xdr:row>
      <xdr:rowOff>114300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E141E9-2ECE-E154-58B2-0F8B8D6FB408}"/>
            </a:ext>
          </a:extLst>
        </xdr:cNvPr>
        <xdr:cNvCxnSpPr/>
      </xdr:nvCxnSpPr>
      <xdr:spPr>
        <a:xfrm>
          <a:off x="13519818867" y="46803733"/>
          <a:ext cx="232833" cy="846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160984</xdr:colOff>
      <xdr:row>235</xdr:row>
      <xdr:rowOff>126438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516467</xdr:colOff>
      <xdr:row>237</xdr:row>
      <xdr:rowOff>29632</xdr:rowOff>
    </xdr:from>
    <xdr:to>
      <xdr:col>5</xdr:col>
      <xdr:colOff>677333</xdr:colOff>
      <xdr:row>237</xdr:row>
      <xdr:rowOff>194732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22F3958-3B01-7DF5-59BD-20875AECEF6B}"/>
            </a:ext>
          </a:extLst>
        </xdr:cNvPr>
        <xdr:cNvSpPr/>
      </xdr:nvSpPr>
      <xdr:spPr>
        <a:xfrm>
          <a:off x="13520187167" y="46117932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oneCellAnchor>
    <xdr:from>
      <xdr:col>6</xdr:col>
      <xdr:colOff>414984</xdr:colOff>
      <xdr:row>235</xdr:row>
      <xdr:rowOff>134905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49893</xdr:colOff>
      <xdr:row>270</xdr:row>
      <xdr:rowOff>117928</xdr:rowOff>
    </xdr:from>
    <xdr:to>
      <xdr:col>3</xdr:col>
      <xdr:colOff>90714</xdr:colOff>
      <xdr:row>271</xdr:row>
      <xdr:rowOff>22678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B917254-09B0-80F7-5F64-FF90A5C6915D}"/>
            </a:ext>
          </a:extLst>
        </xdr:cNvPr>
        <xdr:cNvCxnSpPr/>
      </xdr:nvCxnSpPr>
      <xdr:spPr>
        <a:xfrm>
          <a:off x="13522452000" y="52623357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793750</xdr:colOff>
      <xdr:row>269</xdr:row>
      <xdr:rowOff>181428</xdr:rowOff>
    </xdr:from>
    <xdr:to>
      <xdr:col>3</xdr:col>
      <xdr:colOff>49893</xdr:colOff>
      <xdr:row>271</xdr:row>
      <xdr:rowOff>31750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99042BDA-F0D6-7684-2F18-04C047DF45BB}"/>
            </a:ext>
          </a:extLst>
        </xdr:cNvPr>
        <xdr:cNvCxnSpPr/>
      </xdr:nvCxnSpPr>
      <xdr:spPr>
        <a:xfrm flipH="1">
          <a:off x="13522492821" y="52496357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390072</xdr:colOff>
      <xdr:row>270</xdr:row>
      <xdr:rowOff>140607</xdr:rowOff>
    </xdr:from>
    <xdr:to>
      <xdr:col>3</xdr:col>
      <xdr:colOff>430893</xdr:colOff>
      <xdr:row>271</xdr:row>
      <xdr:rowOff>45357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FB846B89-C332-21C8-1370-06501D28DF7B}"/>
            </a:ext>
          </a:extLst>
        </xdr:cNvPr>
        <xdr:cNvCxnSpPr/>
      </xdr:nvCxnSpPr>
      <xdr:spPr>
        <a:xfrm>
          <a:off x="13522111821" y="52646036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308429</xdr:colOff>
      <xdr:row>270</xdr:row>
      <xdr:rowOff>13607</xdr:rowOff>
    </xdr:from>
    <xdr:to>
      <xdr:col>3</xdr:col>
      <xdr:colOff>390072</xdr:colOff>
      <xdr:row>271</xdr:row>
      <xdr:rowOff>54429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C725199C-6552-D23C-BFD5-4AD85A63AEC5}"/>
            </a:ext>
          </a:extLst>
        </xdr:cNvPr>
        <xdr:cNvCxnSpPr/>
      </xdr:nvCxnSpPr>
      <xdr:spPr>
        <a:xfrm flipH="1">
          <a:off x="13522152642" y="52519036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680356</xdr:colOff>
      <xdr:row>270</xdr:row>
      <xdr:rowOff>0</xdr:rowOff>
    </xdr:from>
    <xdr:to>
      <xdr:col>3</xdr:col>
      <xdr:colOff>746482</xdr:colOff>
      <xdr:row>271</xdr:row>
      <xdr:rowOff>98354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429CE22E-62B6-2FD9-FAF5-CAB3BA5961E1}"/>
            </a:ext>
          </a:extLst>
        </xdr:cNvPr>
        <xdr:cNvSpPr/>
      </xdr:nvSpPr>
      <xdr:spPr>
        <a:xfrm>
          <a:off x="13521796232" y="52505429"/>
          <a:ext cx="66126" cy="2888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11581</xdr:colOff>
      <xdr:row>287</xdr:row>
      <xdr:rowOff>119897</xdr:rowOff>
    </xdr:from>
    <xdr:ext cx="147966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(1+12%)^(1/4)−1=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11581</xdr:colOff>
      <xdr:row>291</xdr:row>
      <xdr:rowOff>111431</xdr:rowOff>
    </xdr:from>
    <xdr:ext cx="14796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𝐼𝑁𝑇_6=𝐵𝐴𝐿_5∗𝑟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76200</xdr:colOff>
      <xdr:row>292</xdr:row>
      <xdr:rowOff>174931</xdr:rowOff>
    </xdr:from>
    <xdr:ext cx="227018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8,000=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∗2.873734%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8,000=𝐵𝐴𝐿_5∗2.873734%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660400</xdr:colOff>
      <xdr:row>295</xdr:row>
      <xdr:rowOff>26764</xdr:rowOff>
    </xdr:from>
    <xdr:ext cx="12711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𝐵𝐴𝐿_5=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132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134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135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270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275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276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278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127</xdr:row>
      <xdr:rowOff>127000</xdr:rowOff>
    </xdr:from>
    <xdr:to>
      <xdr:col>6</xdr:col>
      <xdr:colOff>193675</xdr:colOff>
      <xdr:row>131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127</xdr:row>
      <xdr:rowOff>130175</xdr:rowOff>
    </xdr:from>
    <xdr:to>
      <xdr:col>4</xdr:col>
      <xdr:colOff>752475</xdr:colOff>
      <xdr:row>131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129</xdr:row>
      <xdr:rowOff>152400</xdr:rowOff>
    </xdr:from>
    <xdr:to>
      <xdr:col>3</xdr:col>
      <xdr:colOff>428625</xdr:colOff>
      <xdr:row>131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133</xdr:row>
      <xdr:rowOff>82550</xdr:rowOff>
    </xdr:from>
    <xdr:to>
      <xdr:col>5</xdr:col>
      <xdr:colOff>50800</xdr:colOff>
      <xdr:row>134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133</xdr:row>
      <xdr:rowOff>85725</xdr:rowOff>
    </xdr:from>
    <xdr:to>
      <xdr:col>4</xdr:col>
      <xdr:colOff>228600</xdr:colOff>
      <xdr:row>134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133</xdr:row>
      <xdr:rowOff>79375</xdr:rowOff>
    </xdr:from>
    <xdr:to>
      <xdr:col>3</xdr:col>
      <xdr:colOff>485775</xdr:colOff>
      <xdr:row>134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501642</xdr:colOff>
      <xdr:row>160</xdr:row>
      <xdr:rowOff>120148</xdr:rowOff>
    </xdr:from>
    <xdr:to>
      <xdr:col>9</xdr:col>
      <xdr:colOff>87730</xdr:colOff>
      <xdr:row>168</xdr:row>
      <xdr:rowOff>81071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4838257" y="31030444"/>
          <a:ext cx="1240430" cy="1498291"/>
        </a:xfrm>
        <a:prstGeom prst="rect">
          <a:avLst/>
        </a:prstGeom>
      </xdr:spPr>
    </xdr:pic>
    <xdr:clientData/>
  </xdr:twoCellAnchor>
  <xdr:twoCellAnchor>
    <xdr:from>
      <xdr:col>7</xdr:col>
      <xdr:colOff>792786</xdr:colOff>
      <xdr:row>162</xdr:row>
      <xdr:rowOff>93772</xdr:rowOff>
    </xdr:from>
    <xdr:to>
      <xdr:col>8</xdr:col>
      <xdr:colOff>123144</xdr:colOff>
      <xdr:row>163</xdr:row>
      <xdr:rowOff>62022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45630014" y="31388410"/>
          <a:ext cx="157529" cy="16042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216440</xdr:colOff>
      <xdr:row>162</xdr:row>
      <xdr:rowOff>90353</xdr:rowOff>
    </xdr:from>
    <xdr:to>
      <xdr:col>8</xdr:col>
      <xdr:colOff>372709</xdr:colOff>
      <xdr:row>163</xdr:row>
      <xdr:rowOff>31043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45380449" y="31384991"/>
          <a:ext cx="156269" cy="132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82845</xdr:colOff>
      <xdr:row>162</xdr:row>
      <xdr:rowOff>135291</xdr:rowOff>
    </xdr:from>
    <xdr:to>
      <xdr:col>8</xdr:col>
      <xdr:colOff>243305</xdr:colOff>
      <xdr:row>162</xdr:row>
      <xdr:rowOff>189022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45509853" y="31429929"/>
          <a:ext cx="160460" cy="5373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589586</xdr:colOff>
      <xdr:row>162</xdr:row>
      <xdr:rowOff>161668</xdr:rowOff>
    </xdr:from>
    <xdr:to>
      <xdr:col>9</xdr:col>
      <xdr:colOff>83090</xdr:colOff>
      <xdr:row>165</xdr:row>
      <xdr:rowOff>85468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44842897" y="31456306"/>
          <a:ext cx="320675" cy="500313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183</xdr:row>
      <xdr:rowOff>68675</xdr:rowOff>
    </xdr:from>
    <xdr:to>
      <xdr:col>8</xdr:col>
      <xdr:colOff>577589</xdr:colOff>
      <xdr:row>186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53731</xdr:colOff>
      <xdr:row>183</xdr:row>
      <xdr:rowOff>86202</xdr:rowOff>
    </xdr:from>
    <xdr:to>
      <xdr:col>7</xdr:col>
      <xdr:colOff>271396</xdr:colOff>
      <xdr:row>185</xdr:row>
      <xdr:rowOff>180731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18942104" y="35187048"/>
          <a:ext cx="1868665" cy="475529"/>
        </a:xfrm>
        <a:prstGeom prst="wedgeRoundRectCallout">
          <a:avLst>
            <a:gd name="adj1" fmla="val -41670"/>
            <a:gd name="adj2" fmla="val -6834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היחס בין המדד העדכני לישן (הבסיסי) במועד נטלת ההלוואה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7</xdr:col>
      <xdr:colOff>290360</xdr:colOff>
      <xdr:row>214</xdr:row>
      <xdr:rowOff>48010</xdr:rowOff>
    </xdr:from>
    <xdr:to>
      <xdr:col>8</xdr:col>
      <xdr:colOff>335868</xdr:colOff>
      <xdr:row>217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214</xdr:row>
      <xdr:rowOff>93492</xdr:rowOff>
    </xdr:from>
    <xdr:to>
      <xdr:col>7</xdr:col>
      <xdr:colOff>45482</xdr:colOff>
      <xdr:row>218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276</xdr:row>
      <xdr:rowOff>17493</xdr:rowOff>
    </xdr:from>
    <xdr:to>
      <xdr:col>6</xdr:col>
      <xdr:colOff>129449</xdr:colOff>
      <xdr:row>276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277</xdr:row>
      <xdr:rowOff>108457</xdr:rowOff>
    </xdr:from>
    <xdr:to>
      <xdr:col>6</xdr:col>
      <xdr:colOff>209917</xdr:colOff>
      <xdr:row>278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259</xdr:row>
      <xdr:rowOff>104959</xdr:rowOff>
    </xdr:from>
    <xdr:to>
      <xdr:col>4</xdr:col>
      <xdr:colOff>701252</xdr:colOff>
      <xdr:row>276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277</xdr:row>
      <xdr:rowOff>83967</xdr:rowOff>
    </xdr:from>
    <xdr:to>
      <xdr:col>5</xdr:col>
      <xdr:colOff>62975</xdr:colOff>
      <xdr:row>278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95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146</xdr:row>
      <xdr:rowOff>160053</xdr:rowOff>
    </xdr:from>
    <xdr:to>
      <xdr:col>10</xdr:col>
      <xdr:colOff>455281</xdr:colOff>
      <xdr:row>157</xdr:row>
      <xdr:rowOff>187887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405231</xdr:colOff>
      <xdr:row>238</xdr:row>
      <xdr:rowOff>111269</xdr:rowOff>
    </xdr:from>
    <xdr:to>
      <xdr:col>7</xdr:col>
      <xdr:colOff>251564</xdr:colOff>
      <xdr:row>250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6328765" y="43838539"/>
          <a:ext cx="2377978" cy="2309084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272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588537</xdr:colOff>
      <xdr:row>30</xdr:row>
      <xdr:rowOff>100672</xdr:rowOff>
    </xdr:from>
    <xdr:to>
      <xdr:col>6</xdr:col>
      <xdr:colOff>480122</xdr:colOff>
      <xdr:row>34</xdr:row>
      <xdr:rowOff>96799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F0649ED7-FE8E-0276-32E6-7D748E63D9F1}"/>
            </a:ext>
          </a:extLst>
        </xdr:cNvPr>
        <xdr:cNvSpPr/>
      </xdr:nvSpPr>
      <xdr:spPr>
        <a:xfrm>
          <a:off x="13506875915" y="5889239"/>
          <a:ext cx="1591372" cy="75503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אינפלציה באחוזים: השינוי היחסי במדד בתקופת העסקה / בתקופת החישוב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472379</xdr:colOff>
      <xdr:row>52</xdr:row>
      <xdr:rowOff>120031</xdr:rowOff>
    </xdr:from>
    <xdr:to>
      <xdr:col>7</xdr:col>
      <xdr:colOff>402682</xdr:colOff>
      <xdr:row>55</xdr:row>
      <xdr:rowOff>185854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4A68798A-774E-1441-8226-7456500949EB}"/>
            </a:ext>
          </a:extLst>
        </xdr:cNvPr>
        <xdr:cNvSpPr/>
      </xdr:nvSpPr>
      <xdr:spPr>
        <a:xfrm>
          <a:off x="13506128629" y="10082561"/>
          <a:ext cx="1579755" cy="635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כאשר אינפלציה למספר תקופות נתונה - חישוב אינפלציה לתקופה כוללת תתקבל ע״י רצף מכפלות של ערכי האינפלציה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734846</xdr:colOff>
      <xdr:row>66</xdr:row>
      <xdr:rowOff>35365</xdr:rowOff>
    </xdr:from>
    <xdr:to>
      <xdr:col>8</xdr:col>
      <xdr:colOff>665149</xdr:colOff>
      <xdr:row>69</xdr:row>
      <xdr:rowOff>101188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393C2DFE-43F6-D30A-4746-873FB8289BEE}"/>
            </a:ext>
          </a:extLst>
        </xdr:cNvPr>
        <xdr:cNvSpPr/>
      </xdr:nvSpPr>
      <xdr:spPr>
        <a:xfrm>
          <a:off x="13517722851" y="12709965"/>
          <a:ext cx="1581303" cy="63732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אם ערכי המדד ידועים לתחילת השנה ולסופה, היחס בין המדדים פחות אחת הוא האינפלציה הכוללת השנתית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732367</xdr:colOff>
      <xdr:row>95</xdr:row>
      <xdr:rowOff>110067</xdr:rowOff>
    </xdr:from>
    <xdr:to>
      <xdr:col>6</xdr:col>
      <xdr:colOff>270933</xdr:colOff>
      <xdr:row>96</xdr:row>
      <xdr:rowOff>0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81DB368-AB17-776D-8115-BC5690923845}"/>
            </a:ext>
          </a:extLst>
        </xdr:cNvPr>
        <xdr:cNvCxnSpPr/>
      </xdr:nvCxnSpPr>
      <xdr:spPr>
        <a:xfrm flipH="1" flipV="1">
          <a:off x="13519768067" y="17763067"/>
          <a:ext cx="364066" cy="804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76201</xdr:colOff>
      <xdr:row>95</xdr:row>
      <xdr:rowOff>33867</xdr:rowOff>
    </xdr:from>
    <xdr:to>
      <xdr:col>5</xdr:col>
      <xdr:colOff>414867</xdr:colOff>
      <xdr:row>95</xdr:row>
      <xdr:rowOff>173566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0F207B4-F43F-1307-29FD-AFC989E5AE3E}"/>
            </a:ext>
          </a:extLst>
        </xdr:cNvPr>
        <xdr:cNvCxnSpPr/>
      </xdr:nvCxnSpPr>
      <xdr:spPr>
        <a:xfrm flipH="1" flipV="1">
          <a:off x="13520449633" y="17686867"/>
          <a:ext cx="338666" cy="1396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313267</xdr:colOff>
      <xdr:row>97</xdr:row>
      <xdr:rowOff>88900</xdr:rowOff>
    </xdr:from>
    <xdr:to>
      <xdr:col>4</xdr:col>
      <xdr:colOff>321734</xdr:colOff>
      <xdr:row>98</xdr:row>
      <xdr:rowOff>97367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53E05610-170B-1C49-83BD-6665EACB1464}"/>
            </a:ext>
          </a:extLst>
        </xdr:cNvPr>
        <xdr:cNvCxnSpPr/>
      </xdr:nvCxnSpPr>
      <xdr:spPr>
        <a:xfrm flipH="1">
          <a:off x="13521419066" y="18313400"/>
          <a:ext cx="8467" cy="1989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235185</xdr:colOff>
      <xdr:row>109</xdr:row>
      <xdr:rowOff>84667</xdr:rowOff>
    </xdr:from>
    <xdr:to>
      <xdr:col>10</xdr:col>
      <xdr:colOff>94073</xdr:colOff>
      <xdr:row>117</xdr:row>
      <xdr:rowOff>122296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2CA8216E-85CD-AA37-367B-6AAD51EE247D}"/>
            </a:ext>
          </a:extLst>
        </xdr:cNvPr>
        <xdr:cNvSpPr/>
      </xdr:nvSpPr>
      <xdr:spPr>
        <a:xfrm>
          <a:off x="13555152149" y="21246630"/>
          <a:ext cx="3998148" cy="158044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בעסקה יש הצמדה למדד:</a:t>
          </a:r>
        </a:p>
        <a:p>
          <a:pPr algn="r" rtl="1"/>
          <a:r>
            <a:rPr lang="he-IL" sz="1100"/>
            <a:t>הריבית הנומינלית בעסקה =</a:t>
          </a:r>
          <a:r>
            <a:rPr lang="he-IL" sz="1100" baseline="0"/>
            <a:t> ריבית כוללת = המתחשבת באינפלציה / בהצמדה</a:t>
          </a:r>
        </a:p>
        <a:p>
          <a:pPr algn="r" rtl="1"/>
          <a:r>
            <a:rPr lang="he-IL" sz="1100" baseline="0"/>
            <a:t>הריבית הנתונה (לפני הצמדה) = ריבית ריאלית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אם בעסקה אין הצמדה למדד:</a:t>
          </a:r>
        </a:p>
        <a:p>
          <a:pPr algn="r" rtl="1"/>
          <a:r>
            <a:rPr lang="he-IL" sz="1100" baseline="0"/>
            <a:t>הריבית הנומינלית בעסקה = הריבית הנתונה</a:t>
          </a:r>
        </a:p>
        <a:p>
          <a:pPr algn="r" rtl="1"/>
          <a:r>
            <a:rPr lang="he-IL" sz="1100" baseline="0"/>
            <a:t>הריבית הריאלית = הריבית הנומינלית ״בניכוי״ האינפלציה</a:t>
          </a:r>
        </a:p>
        <a:p>
          <a:pPr algn="r" rtl="1"/>
          <a:endParaRPr lang="he-IL" sz="1100" baseline="0"/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6</xdr:col>
      <xdr:colOff>550335</xdr:colOff>
      <xdr:row>127</xdr:row>
      <xdr:rowOff>116651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𝑟_𝑛=(1+2%)∗(1+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540926</xdr:colOff>
      <xdr:row>130</xdr:row>
      <xdr:rowOff>55502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6%=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6%=(1+𝑟_𝑟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37630</xdr:colOff>
      <xdr:row>128</xdr:row>
      <xdr:rowOff>112889</xdr:rowOff>
    </xdr:from>
    <xdr:to>
      <xdr:col>9</xdr:col>
      <xdr:colOff>42333</xdr:colOff>
      <xdr:row>130</xdr:row>
      <xdr:rowOff>84667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EB0D659C-0563-4267-CD78-4DA7B59A5D71}"/>
            </a:ext>
          </a:extLst>
        </xdr:cNvPr>
        <xdr:cNvCxnSpPr/>
      </xdr:nvCxnSpPr>
      <xdr:spPr>
        <a:xfrm flipH="1">
          <a:off x="13556031741" y="24939037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188150</xdr:colOff>
      <xdr:row>128</xdr:row>
      <xdr:rowOff>122295</xdr:rowOff>
    </xdr:from>
    <xdr:to>
      <xdr:col>8</xdr:col>
      <xdr:colOff>192853</xdr:colOff>
      <xdr:row>130</xdr:row>
      <xdr:rowOff>94073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EF04E12-0F94-A9A0-B92E-BC809989B416}"/>
            </a:ext>
          </a:extLst>
        </xdr:cNvPr>
        <xdr:cNvCxnSpPr/>
      </xdr:nvCxnSpPr>
      <xdr:spPr>
        <a:xfrm flipH="1">
          <a:off x="13556709073" y="24948443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136408</xdr:colOff>
      <xdr:row>133</xdr:row>
      <xdr:rowOff>94074</xdr:rowOff>
    </xdr:from>
    <xdr:to>
      <xdr:col>6</xdr:col>
      <xdr:colOff>630297</xdr:colOff>
      <xdr:row>134</xdr:row>
      <xdr:rowOff>47037</xdr:rowOff>
    </xdr:to>
    <xdr:sp macro="" textlink="">
      <xdr:nvSpPr>
        <xdr:cNvPr id="53" name="Right Arrow 52">
          <a:extLst>
            <a:ext uri="{FF2B5EF4-FFF2-40B4-BE49-F238E27FC236}">
              <a16:creationId xmlns:a16="http://schemas.microsoft.com/office/drawing/2014/main" id="{9CA4F1BA-4919-F87E-F5C7-2024DF2C3F2D}"/>
            </a:ext>
          </a:extLst>
        </xdr:cNvPr>
        <xdr:cNvSpPr/>
      </xdr:nvSpPr>
      <xdr:spPr>
        <a:xfrm>
          <a:off x="13557927333" y="25884481"/>
          <a:ext cx="493889" cy="14581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801076</xdr:colOff>
      <xdr:row>164</xdr:row>
      <xdr:rowOff>117230</xdr:rowOff>
    </xdr:from>
    <xdr:to>
      <xdr:col>3</xdr:col>
      <xdr:colOff>34192</xdr:colOff>
      <xdr:row>166</xdr:row>
      <xdr:rowOff>4883</xdr:rowOff>
    </xdr:to>
    <xdr:sp macro="" textlink="">
      <xdr:nvSpPr>
        <xdr:cNvPr id="54" name="Rounded Rectangle 53">
          <a:extLst>
            <a:ext uri="{FF2B5EF4-FFF2-40B4-BE49-F238E27FC236}">
              <a16:creationId xmlns:a16="http://schemas.microsoft.com/office/drawing/2014/main" id="{6B7937BB-26FC-8175-16D8-16F6C01F6410}"/>
            </a:ext>
          </a:extLst>
        </xdr:cNvPr>
        <xdr:cNvSpPr/>
      </xdr:nvSpPr>
      <xdr:spPr>
        <a:xfrm>
          <a:off x="13522530154" y="31539961"/>
          <a:ext cx="1709616" cy="2686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000"/>
            <a:t>חשב</a:t>
          </a:r>
          <a:r>
            <a:rPr lang="he-IL" sz="1000" baseline="0"/>
            <a:t> </a:t>
          </a:r>
          <a:r>
            <a:rPr lang="en-US" sz="1000" baseline="0"/>
            <a:t>PMT</a:t>
          </a:r>
          <a:r>
            <a:rPr lang="he-IL" sz="1000" baseline="0"/>
            <a:t> בהתעלם מהצמדה</a:t>
          </a:r>
          <a:endParaRPr lang="en-US" sz="1000"/>
        </a:p>
      </xdr:txBody>
    </xdr:sp>
    <xdr:clientData/>
  </xdr:twoCellAnchor>
  <xdr:twoCellAnchor>
    <xdr:from>
      <xdr:col>3</xdr:col>
      <xdr:colOff>537309</xdr:colOff>
      <xdr:row>163</xdr:row>
      <xdr:rowOff>14654</xdr:rowOff>
    </xdr:from>
    <xdr:to>
      <xdr:col>6</xdr:col>
      <xdr:colOff>493346</xdr:colOff>
      <xdr:row>166</xdr:row>
      <xdr:rowOff>9768</xdr:rowOff>
    </xdr:to>
    <xdr:sp macro="" textlink="">
      <xdr:nvSpPr>
        <xdr:cNvPr id="55" name="Rounded Rectangle 54">
          <a:extLst>
            <a:ext uri="{FF2B5EF4-FFF2-40B4-BE49-F238E27FC236}">
              <a16:creationId xmlns:a16="http://schemas.microsoft.com/office/drawing/2014/main" id="{4642FB2A-70F6-05EE-36B6-35B7C5F4C898}"/>
            </a:ext>
          </a:extLst>
        </xdr:cNvPr>
        <xdr:cNvSpPr/>
      </xdr:nvSpPr>
      <xdr:spPr>
        <a:xfrm>
          <a:off x="13519545654" y="31246885"/>
          <a:ext cx="2481383" cy="56661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לכפול ב-1 ועוד האינפלציה באחוזים</a:t>
          </a:r>
        </a:p>
        <a:p>
          <a:pPr algn="ctr" rtl="1"/>
          <a:r>
            <a:rPr lang="he-IL" sz="900"/>
            <a:t>או:</a:t>
          </a:r>
        </a:p>
        <a:p>
          <a:pPr algn="ctr" rtl="1"/>
          <a:r>
            <a:rPr lang="he-IL" sz="900"/>
            <a:t>לכפול ביחס בין המדד העדכני למדד הבסיס</a:t>
          </a:r>
          <a:endParaRPr lang="en-US" sz="900"/>
        </a:p>
      </xdr:txBody>
    </xdr:sp>
    <xdr:clientData/>
  </xdr:twoCellAnchor>
  <xdr:twoCellAnchor>
    <xdr:from>
      <xdr:col>3</xdr:col>
      <xdr:colOff>63500</xdr:colOff>
      <xdr:row>164</xdr:row>
      <xdr:rowOff>180730</xdr:rowOff>
    </xdr:from>
    <xdr:to>
      <xdr:col>3</xdr:col>
      <xdr:colOff>498230</xdr:colOff>
      <xdr:row>165</xdr:row>
      <xdr:rowOff>102576</xdr:rowOff>
    </xdr:to>
    <xdr:sp macro="" textlink="">
      <xdr:nvSpPr>
        <xdr:cNvPr id="57" name="Left Arrow 56">
          <a:extLst>
            <a:ext uri="{FF2B5EF4-FFF2-40B4-BE49-F238E27FC236}">
              <a16:creationId xmlns:a16="http://schemas.microsoft.com/office/drawing/2014/main" id="{78F99846-BE5C-EA5F-E6AD-130AA23DEE24}"/>
            </a:ext>
          </a:extLst>
        </xdr:cNvPr>
        <xdr:cNvSpPr/>
      </xdr:nvSpPr>
      <xdr:spPr>
        <a:xfrm>
          <a:off x="13522066116" y="31603461"/>
          <a:ext cx="434730" cy="11234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78154</xdr:colOff>
      <xdr:row>172</xdr:row>
      <xdr:rowOff>107461</xdr:rowOff>
    </xdr:from>
    <xdr:to>
      <xdr:col>5</xdr:col>
      <xdr:colOff>395654</xdr:colOff>
      <xdr:row>172</xdr:row>
      <xdr:rowOff>112346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42A2DC9-9B98-CA63-DFA9-6169F93CE66D}"/>
            </a:ext>
          </a:extLst>
        </xdr:cNvPr>
        <xdr:cNvCxnSpPr/>
      </xdr:nvCxnSpPr>
      <xdr:spPr>
        <a:xfrm flipH="1">
          <a:off x="13520468846" y="33054192"/>
          <a:ext cx="317500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390769</xdr:colOff>
      <xdr:row>172</xdr:row>
      <xdr:rowOff>107461</xdr:rowOff>
    </xdr:from>
    <xdr:to>
      <xdr:col>5</xdr:col>
      <xdr:colOff>395654</xdr:colOff>
      <xdr:row>174</xdr:row>
      <xdr:rowOff>48846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89F8FA0-BB6E-4446-ED21-01BFD2C6632B}"/>
            </a:ext>
          </a:extLst>
        </xdr:cNvPr>
        <xdr:cNvCxnSpPr/>
      </xdr:nvCxnSpPr>
      <xdr:spPr>
        <a:xfrm flipV="1">
          <a:off x="13520468846" y="33054192"/>
          <a:ext cx="4885" cy="3223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174</xdr:row>
      <xdr:rowOff>34192</xdr:rowOff>
    </xdr:from>
    <xdr:to>
      <xdr:col>7</xdr:col>
      <xdr:colOff>517769</xdr:colOff>
      <xdr:row>174</xdr:row>
      <xdr:rowOff>39077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EE4A7FEA-C8EE-8EEF-29B7-4FE44D3081AC}"/>
            </a:ext>
          </a:extLst>
        </xdr:cNvPr>
        <xdr:cNvCxnSpPr/>
      </xdr:nvCxnSpPr>
      <xdr:spPr>
        <a:xfrm flipH="1">
          <a:off x="13518695731" y="33361923"/>
          <a:ext cx="1787769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503115</xdr:colOff>
      <xdr:row>174</xdr:row>
      <xdr:rowOff>34191</xdr:rowOff>
    </xdr:from>
    <xdr:to>
      <xdr:col>7</xdr:col>
      <xdr:colOff>507999</xdr:colOff>
      <xdr:row>175</xdr:row>
      <xdr:rowOff>34192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43FD33BC-8A2F-F7D2-FD2D-BF7C50810E42}"/>
            </a:ext>
          </a:extLst>
        </xdr:cNvPr>
        <xdr:cNvCxnSpPr/>
      </xdr:nvCxnSpPr>
      <xdr:spPr>
        <a:xfrm flipH="1" flipV="1">
          <a:off x="13518705501" y="33361922"/>
          <a:ext cx="4884" cy="20515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747346</xdr:colOff>
      <xdr:row>175</xdr:row>
      <xdr:rowOff>205153</xdr:rowOff>
    </xdr:from>
    <xdr:to>
      <xdr:col>6</xdr:col>
      <xdr:colOff>752231</xdr:colOff>
      <xdr:row>176</xdr:row>
      <xdr:rowOff>151424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254B635-4866-D193-B68A-1CACDE3B75FD}"/>
            </a:ext>
          </a:extLst>
        </xdr:cNvPr>
        <xdr:cNvCxnSpPr/>
      </xdr:nvCxnSpPr>
      <xdr:spPr>
        <a:xfrm flipH="1">
          <a:off x="13519286769" y="33738038"/>
          <a:ext cx="4885" cy="151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9769</xdr:colOff>
      <xdr:row>175</xdr:row>
      <xdr:rowOff>117230</xdr:rowOff>
    </xdr:from>
    <xdr:to>
      <xdr:col>9</xdr:col>
      <xdr:colOff>483577</xdr:colOff>
      <xdr:row>175</xdr:row>
      <xdr:rowOff>127000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AAF3FD5A-E4F3-D1CA-9AE7-255413756E03}"/>
            </a:ext>
          </a:extLst>
        </xdr:cNvPr>
        <xdr:cNvCxnSpPr/>
      </xdr:nvCxnSpPr>
      <xdr:spPr>
        <a:xfrm flipV="1">
          <a:off x="13517078923" y="33650115"/>
          <a:ext cx="1299308" cy="977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488460</xdr:colOff>
      <xdr:row>175</xdr:row>
      <xdr:rowOff>112345</xdr:rowOff>
    </xdr:from>
    <xdr:to>
      <xdr:col>9</xdr:col>
      <xdr:colOff>488462</xdr:colOff>
      <xdr:row>182</xdr:row>
      <xdr:rowOff>136770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33337CDF-9299-AD52-4335-E36E58E5CA27}"/>
            </a:ext>
          </a:extLst>
        </xdr:cNvPr>
        <xdr:cNvCxnSpPr/>
      </xdr:nvCxnSpPr>
      <xdr:spPr>
        <a:xfrm flipV="1">
          <a:off x="13517074038" y="33645230"/>
          <a:ext cx="2" cy="138723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405424</xdr:colOff>
      <xdr:row>182</xdr:row>
      <xdr:rowOff>136769</xdr:rowOff>
    </xdr:from>
    <xdr:to>
      <xdr:col>9</xdr:col>
      <xdr:colOff>493347</xdr:colOff>
      <xdr:row>182</xdr:row>
      <xdr:rowOff>141654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57C71B8E-C05A-39AB-4A5D-9F3D98793DA2}"/>
            </a:ext>
          </a:extLst>
        </xdr:cNvPr>
        <xdr:cNvCxnSpPr/>
      </xdr:nvCxnSpPr>
      <xdr:spPr>
        <a:xfrm>
          <a:off x="13517069153" y="35032461"/>
          <a:ext cx="913423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703385</xdr:colOff>
      <xdr:row>189</xdr:row>
      <xdr:rowOff>0</xdr:rowOff>
    </xdr:from>
    <xdr:to>
      <xdr:col>8</xdr:col>
      <xdr:colOff>122115</xdr:colOff>
      <xdr:row>189</xdr:row>
      <xdr:rowOff>166077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851C036D-6C70-18AD-9CA5-072CF0308CB4}"/>
            </a:ext>
          </a:extLst>
        </xdr:cNvPr>
        <xdr:cNvCxnSpPr/>
      </xdr:nvCxnSpPr>
      <xdr:spPr>
        <a:xfrm flipH="1">
          <a:off x="13518265885" y="36243846"/>
          <a:ext cx="244230" cy="1660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141654</xdr:colOff>
      <xdr:row>188</xdr:row>
      <xdr:rowOff>161192</xdr:rowOff>
    </xdr:from>
    <xdr:to>
      <xdr:col>7</xdr:col>
      <xdr:colOff>337039</xdr:colOff>
      <xdr:row>190</xdr:row>
      <xdr:rowOff>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207C416-BC7F-DE7F-40E8-0A40E0C8F460}"/>
            </a:ext>
          </a:extLst>
        </xdr:cNvPr>
        <xdr:cNvCxnSpPr/>
      </xdr:nvCxnSpPr>
      <xdr:spPr>
        <a:xfrm>
          <a:off x="13518876461" y="36214538"/>
          <a:ext cx="195385" cy="2198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200269</xdr:colOff>
      <xdr:row>188</xdr:row>
      <xdr:rowOff>161192</xdr:rowOff>
    </xdr:from>
    <xdr:to>
      <xdr:col>7</xdr:col>
      <xdr:colOff>68385</xdr:colOff>
      <xdr:row>190</xdr:row>
      <xdr:rowOff>14654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92B10F6-D17E-D7A5-9703-D3832AC9D8BE}"/>
            </a:ext>
          </a:extLst>
        </xdr:cNvPr>
        <xdr:cNvCxnSpPr/>
      </xdr:nvCxnSpPr>
      <xdr:spPr>
        <a:xfrm>
          <a:off x="13519145115" y="36214538"/>
          <a:ext cx="693616" cy="234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320547</xdr:colOff>
      <xdr:row>194</xdr:row>
      <xdr:rowOff>68674</xdr:rowOff>
    </xdr:from>
    <xdr:to>
      <xdr:col>9</xdr:col>
      <xdr:colOff>312615</xdr:colOff>
      <xdr:row>196</xdr:row>
      <xdr:rowOff>14654</xdr:rowOff>
    </xdr:to>
    <xdr:sp macro="" textlink="">
      <xdr:nvSpPr>
        <xdr:cNvPr id="83" name="Rounded Rectangular Callout 82">
          <a:extLst>
            <a:ext uri="{FF2B5EF4-FFF2-40B4-BE49-F238E27FC236}">
              <a16:creationId xmlns:a16="http://schemas.microsoft.com/office/drawing/2014/main" id="{4C04664E-28D6-4527-88DC-00686A04F102}"/>
            </a:ext>
          </a:extLst>
        </xdr:cNvPr>
        <xdr:cNvSpPr/>
      </xdr:nvSpPr>
      <xdr:spPr>
        <a:xfrm>
          <a:off x="13517249885" y="37294328"/>
          <a:ext cx="1643068" cy="326980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261931</xdr:colOff>
      <xdr:row>194</xdr:row>
      <xdr:rowOff>73558</xdr:rowOff>
    </xdr:from>
    <xdr:to>
      <xdr:col>7</xdr:col>
      <xdr:colOff>253999</xdr:colOff>
      <xdr:row>196</xdr:row>
      <xdr:rowOff>102577</xdr:rowOff>
    </xdr:to>
    <xdr:sp macro="" textlink="">
      <xdr:nvSpPr>
        <xdr:cNvPr id="84" name="Rounded Rectangular Callout 83">
          <a:extLst>
            <a:ext uri="{FF2B5EF4-FFF2-40B4-BE49-F238E27FC236}">
              <a16:creationId xmlns:a16="http://schemas.microsoft.com/office/drawing/2014/main" id="{14E67173-EB7D-26F0-2ADD-2063BB8D4CF1}"/>
            </a:ext>
          </a:extLst>
        </xdr:cNvPr>
        <xdr:cNvSpPr/>
      </xdr:nvSpPr>
      <xdr:spPr>
        <a:xfrm>
          <a:off x="13518959501" y="37299212"/>
          <a:ext cx="1643068" cy="410019"/>
        </a:xfrm>
        <a:prstGeom prst="wedgeRoundRectCallout">
          <a:avLst>
            <a:gd name="adj1" fmla="val -37178"/>
            <a:gd name="adj2" fmla="val -719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סכום כולל אחרי הצמדה: דורש מכפלה ב-1 ועוד האינפלציה</a:t>
          </a:r>
          <a:endParaRPr lang="en-US" sz="900"/>
        </a:p>
      </xdr:txBody>
    </xdr:sp>
    <xdr:clientData/>
  </xdr:twoCellAnchor>
  <xdr:twoCellAnchor>
    <xdr:from>
      <xdr:col>3</xdr:col>
      <xdr:colOff>685132</xdr:colOff>
      <xdr:row>206</xdr:row>
      <xdr:rowOff>100263</xdr:rowOff>
    </xdr:from>
    <xdr:to>
      <xdr:col>4</xdr:col>
      <xdr:colOff>96086</xdr:colOff>
      <xdr:row>206</xdr:row>
      <xdr:rowOff>104441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BBDF10D-3305-36BE-CCCA-C948F159058D}"/>
            </a:ext>
          </a:extLst>
        </xdr:cNvPr>
        <xdr:cNvCxnSpPr/>
      </xdr:nvCxnSpPr>
      <xdr:spPr>
        <a:xfrm>
          <a:off x="13549015888" y="40343388"/>
          <a:ext cx="238125" cy="41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2680</v>
      </c>
    </row>
    <row r="3" spans="1:7" ht="21" x14ac:dyDescent="0.25">
      <c r="A3" s="43" t="s">
        <v>2681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2233</v>
      </c>
      <c r="E7" s="43" t="s">
        <v>2232</v>
      </c>
      <c r="F7" s="43" t="s">
        <v>2234</v>
      </c>
    </row>
    <row r="8" spans="1:7" ht="16" thickBot="1" x14ac:dyDescent="0.25"/>
    <row r="9" spans="1:7" x14ac:dyDescent="0.2">
      <c r="A9" s="211" t="s">
        <v>8</v>
      </c>
      <c r="B9" s="212"/>
      <c r="C9" s="212"/>
      <c r="D9" s="212"/>
      <c r="E9" s="212"/>
      <c r="F9" s="212"/>
      <c r="G9" s="213"/>
    </row>
    <row r="10" spans="1:7" ht="16" thickBot="1" x14ac:dyDescent="0.25">
      <c r="A10" s="216" t="s">
        <v>9</v>
      </c>
      <c r="B10" s="217"/>
      <c r="C10" s="217"/>
      <c r="D10" s="217"/>
      <c r="E10" s="217"/>
      <c r="F10" s="217"/>
      <c r="G10" s="218"/>
    </row>
    <row r="11" spans="1:7" ht="16" thickBot="1" x14ac:dyDescent="0.25"/>
    <row r="12" spans="1:7" ht="16" thickBot="1" x14ac:dyDescent="0.25">
      <c r="A12" s="66" t="s">
        <v>2235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47" t="s">
        <v>11</v>
      </c>
      <c r="C14" s="447" t="s">
        <v>12</v>
      </c>
      <c r="D14" s="447"/>
      <c r="E14" s="447"/>
      <c r="F14" s="447"/>
      <c r="G14" s="531"/>
    </row>
    <row r="15" spans="1:7" x14ac:dyDescent="0.2">
      <c r="A15" s="304">
        <v>45354</v>
      </c>
      <c r="B15" s="520">
        <v>1</v>
      </c>
      <c r="C15" s="212" t="s">
        <v>14</v>
      </c>
      <c r="D15" s="212"/>
      <c r="E15" s="212"/>
      <c r="F15" s="212"/>
      <c r="G15" s="213"/>
    </row>
    <row r="16" spans="1:7" x14ac:dyDescent="0.2">
      <c r="A16" s="276"/>
      <c r="B16" s="79"/>
      <c r="C16" s="43" t="s">
        <v>15</v>
      </c>
      <c r="G16" s="215"/>
    </row>
    <row r="17" spans="1:7" x14ac:dyDescent="0.2">
      <c r="A17" s="276"/>
      <c r="B17" s="79"/>
      <c r="C17" s="43" t="s">
        <v>16</v>
      </c>
      <c r="G17" s="215"/>
    </row>
    <row r="18" spans="1:7" x14ac:dyDescent="0.2">
      <c r="A18" s="276"/>
      <c r="B18" s="79"/>
      <c r="D18" s="43" t="s">
        <v>17</v>
      </c>
      <c r="G18" s="215"/>
    </row>
    <row r="19" spans="1:7" x14ac:dyDescent="0.2">
      <c r="A19" s="276"/>
      <c r="B19" s="79"/>
      <c r="D19" s="43" t="s">
        <v>18</v>
      </c>
      <c r="G19" s="215"/>
    </row>
    <row r="20" spans="1:7" x14ac:dyDescent="0.2">
      <c r="A20" s="276"/>
      <c r="B20" s="79"/>
      <c r="D20" s="43" t="s">
        <v>19</v>
      </c>
      <c r="G20" s="215"/>
    </row>
    <row r="21" spans="1:7" x14ac:dyDescent="0.2">
      <c r="A21" s="276"/>
      <c r="B21" s="79"/>
      <c r="C21" s="43" t="s">
        <v>20</v>
      </c>
      <c r="G21" s="215"/>
    </row>
    <row r="22" spans="1:7" x14ac:dyDescent="0.2">
      <c r="A22" s="276"/>
      <c r="B22" s="79"/>
      <c r="D22" s="43" t="s">
        <v>21</v>
      </c>
      <c r="G22" s="215"/>
    </row>
    <row r="23" spans="1:7" x14ac:dyDescent="0.2">
      <c r="A23" s="276"/>
      <c r="D23" s="43" t="s">
        <v>22</v>
      </c>
      <c r="G23" s="215"/>
    </row>
    <row r="24" spans="1:7" x14ac:dyDescent="0.2">
      <c r="A24" s="276"/>
      <c r="D24" s="43" t="s">
        <v>23</v>
      </c>
      <c r="G24" s="215"/>
    </row>
    <row r="25" spans="1:7" ht="16" thickBot="1" x14ac:dyDescent="0.25">
      <c r="A25" s="234"/>
      <c r="B25" s="217"/>
      <c r="C25" s="217"/>
      <c r="D25" s="217" t="s">
        <v>24</v>
      </c>
      <c r="E25" s="217"/>
      <c r="F25" s="217"/>
      <c r="G25" s="218"/>
    </row>
    <row r="26" spans="1:7" x14ac:dyDescent="0.2">
      <c r="A26" s="304">
        <v>45361</v>
      </c>
      <c r="B26" s="212">
        <v>2</v>
      </c>
      <c r="C26" s="212" t="s">
        <v>25</v>
      </c>
      <c r="D26" s="212"/>
      <c r="E26" s="212"/>
      <c r="F26" s="212"/>
      <c r="G26" s="213"/>
    </row>
    <row r="27" spans="1:7" x14ac:dyDescent="0.2">
      <c r="A27" s="276"/>
      <c r="C27" s="43" t="s">
        <v>26</v>
      </c>
      <c r="G27" s="215"/>
    </row>
    <row r="28" spans="1:7" x14ac:dyDescent="0.2">
      <c r="A28" s="276"/>
      <c r="C28" s="43" t="s">
        <v>27</v>
      </c>
      <c r="G28" s="215"/>
    </row>
    <row r="29" spans="1:7" x14ac:dyDescent="0.2">
      <c r="A29" s="276"/>
      <c r="G29" s="215"/>
    </row>
    <row r="30" spans="1:7" x14ac:dyDescent="0.2">
      <c r="A30" s="276"/>
      <c r="G30" s="215"/>
    </row>
    <row r="31" spans="1:7" x14ac:dyDescent="0.2">
      <c r="A31" s="276"/>
      <c r="G31" s="215"/>
    </row>
    <row r="32" spans="1:7" ht="16" thickBot="1" x14ac:dyDescent="0.25">
      <c r="A32" s="234"/>
      <c r="B32" s="217"/>
      <c r="C32" s="217"/>
      <c r="D32" s="217"/>
      <c r="E32" s="217"/>
      <c r="F32" s="217"/>
      <c r="G32" s="218"/>
    </row>
    <row r="33" spans="1:7" x14ac:dyDescent="0.2">
      <c r="A33" s="304">
        <v>45368</v>
      </c>
      <c r="B33" s="212">
        <v>3</v>
      </c>
      <c r="C33" s="212" t="s">
        <v>28</v>
      </c>
      <c r="D33" s="212"/>
      <c r="E33" s="212"/>
      <c r="F33" s="212"/>
      <c r="G33" s="213"/>
    </row>
    <row r="34" spans="1:7" x14ac:dyDescent="0.2">
      <c r="A34" s="276"/>
      <c r="C34" s="43" t="s">
        <v>29</v>
      </c>
      <c r="G34" s="215"/>
    </row>
    <row r="35" spans="1:7" x14ac:dyDescent="0.2">
      <c r="A35" s="276"/>
      <c r="C35" s="43" t="s">
        <v>31</v>
      </c>
      <c r="G35" s="215"/>
    </row>
    <row r="36" spans="1:7" x14ac:dyDescent="0.2">
      <c r="A36" s="276"/>
      <c r="C36" s="43" t="s">
        <v>32</v>
      </c>
      <c r="G36" s="215"/>
    </row>
    <row r="37" spans="1:7" x14ac:dyDescent="0.2">
      <c r="A37" s="276"/>
      <c r="C37" s="43" t="s">
        <v>33</v>
      </c>
      <c r="G37" s="215"/>
    </row>
    <row r="38" spans="1:7" ht="16" thickBot="1" x14ac:dyDescent="0.25">
      <c r="A38" s="234"/>
      <c r="B38" s="217"/>
      <c r="C38" s="217"/>
      <c r="D38" s="217"/>
      <c r="E38" s="217"/>
      <c r="F38" s="217"/>
      <c r="G38" s="218"/>
    </row>
    <row r="39" spans="1:7" x14ac:dyDescent="0.2">
      <c r="A39" s="304">
        <v>45382</v>
      </c>
      <c r="B39" s="212">
        <v>4</v>
      </c>
      <c r="C39" s="212" t="s">
        <v>35</v>
      </c>
      <c r="D39" s="212"/>
      <c r="E39" s="212"/>
      <c r="F39" s="212"/>
      <c r="G39" s="213"/>
    </row>
    <row r="40" spans="1:7" x14ac:dyDescent="0.2">
      <c r="A40" s="276"/>
      <c r="C40" s="43" t="s">
        <v>36</v>
      </c>
      <c r="G40" s="215"/>
    </row>
    <row r="41" spans="1:7" ht="16" thickBot="1" x14ac:dyDescent="0.25">
      <c r="A41" s="234"/>
      <c r="B41" s="217"/>
      <c r="C41" s="217" t="s">
        <v>37</v>
      </c>
      <c r="D41" s="217"/>
      <c r="E41" s="217"/>
      <c r="F41" s="217"/>
      <c r="G41" s="218"/>
    </row>
    <row r="42" spans="1:7" x14ac:dyDescent="0.2">
      <c r="A42" s="304"/>
      <c r="B42" s="212">
        <v>5</v>
      </c>
      <c r="C42" s="212" t="s">
        <v>38</v>
      </c>
      <c r="D42" s="212"/>
      <c r="E42" s="212"/>
      <c r="F42" s="212"/>
      <c r="G42" s="212"/>
    </row>
    <row r="43" spans="1:7" x14ac:dyDescent="0.2">
      <c r="A43" s="276"/>
    </row>
    <row r="44" spans="1:7" x14ac:dyDescent="0.2">
      <c r="A44" s="276"/>
    </row>
    <row r="45" spans="1:7" ht="16" thickBot="1" x14ac:dyDescent="0.25">
      <c r="A45" s="234"/>
      <c r="B45" s="217"/>
      <c r="C45" s="217"/>
      <c r="D45" s="217"/>
      <c r="E45" s="217"/>
      <c r="F45" s="217"/>
      <c r="G45" s="217"/>
    </row>
    <row r="46" spans="1:7" x14ac:dyDescent="0.2">
      <c r="A46" s="304"/>
      <c r="B46" s="212">
        <v>6</v>
      </c>
      <c r="C46" s="212" t="s">
        <v>39</v>
      </c>
      <c r="D46" s="212"/>
      <c r="E46" s="212"/>
      <c r="F46" s="212"/>
      <c r="G46" s="212"/>
    </row>
    <row r="47" spans="1:7" x14ac:dyDescent="0.2">
      <c r="A47" s="276"/>
    </row>
    <row r="48" spans="1:7" ht="16" thickBot="1" x14ac:dyDescent="0.25">
      <c r="A48" s="234"/>
      <c r="B48" s="217"/>
      <c r="C48" s="217"/>
      <c r="D48" s="217"/>
      <c r="E48" s="217"/>
      <c r="F48" s="217"/>
      <c r="G48" s="217"/>
    </row>
    <row r="49" spans="1:7" x14ac:dyDescent="0.2">
      <c r="A49" s="304"/>
      <c r="B49" s="212">
        <v>7</v>
      </c>
      <c r="C49" s="212" t="s">
        <v>40</v>
      </c>
      <c r="D49" s="212"/>
      <c r="E49" s="212"/>
      <c r="F49" s="212"/>
      <c r="G49" s="212"/>
    </row>
    <row r="50" spans="1:7" x14ac:dyDescent="0.2">
      <c r="A50" s="276"/>
    </row>
    <row r="51" spans="1:7" ht="16" thickBot="1" x14ac:dyDescent="0.25">
      <c r="A51" s="276"/>
    </row>
    <row r="52" spans="1:7" x14ac:dyDescent="0.2">
      <c r="A52" s="304"/>
      <c r="B52" s="212">
        <v>8</v>
      </c>
      <c r="C52" s="212" t="s">
        <v>41</v>
      </c>
      <c r="D52" s="212"/>
      <c r="E52" s="212"/>
      <c r="F52" s="212"/>
      <c r="G52" s="212"/>
    </row>
    <row r="53" spans="1:7" ht="16" thickBot="1" x14ac:dyDescent="0.25">
      <c r="A53" s="470"/>
      <c r="B53" s="217"/>
      <c r="C53" s="217" t="s">
        <v>42</v>
      </c>
      <c r="D53" s="217"/>
      <c r="E53" s="217"/>
      <c r="F53" s="217"/>
      <c r="G53" s="217"/>
    </row>
    <row r="54" spans="1:7" ht="16" thickBot="1" x14ac:dyDescent="0.25">
      <c r="A54" s="494"/>
      <c r="B54" s="43">
        <v>9</v>
      </c>
      <c r="C54" s="43" t="s">
        <v>43</v>
      </c>
    </row>
    <row r="55" spans="1:7" x14ac:dyDescent="0.2">
      <c r="A55" s="304"/>
      <c r="B55" s="212">
        <v>10</v>
      </c>
      <c r="C55" s="212" t="s">
        <v>44</v>
      </c>
      <c r="D55" s="212"/>
      <c r="E55" s="212"/>
      <c r="F55" s="212"/>
      <c r="G55" s="212"/>
    </row>
    <row r="56" spans="1:7" ht="16" thickBot="1" x14ac:dyDescent="0.25">
      <c r="A56" s="494"/>
    </row>
    <row r="57" spans="1:7" x14ac:dyDescent="0.2">
      <c r="A57" s="304"/>
      <c r="B57" s="212">
        <v>11</v>
      </c>
      <c r="C57" s="212" t="s">
        <v>45</v>
      </c>
      <c r="D57" s="212"/>
      <c r="E57" s="212"/>
      <c r="F57" s="212"/>
      <c r="G57" s="212"/>
    </row>
    <row r="58" spans="1:7" ht="16" thickBot="1" x14ac:dyDescent="0.25">
      <c r="A58" s="470"/>
      <c r="B58" s="217"/>
      <c r="C58" s="217"/>
      <c r="D58" s="217"/>
      <c r="E58" s="217"/>
      <c r="F58" s="217"/>
      <c r="G58" s="217"/>
    </row>
    <row r="59" spans="1:7" ht="16" thickBot="1" x14ac:dyDescent="0.25">
      <c r="A59" s="470"/>
      <c r="B59" s="217">
        <v>12</v>
      </c>
      <c r="C59" s="217" t="s">
        <v>46</v>
      </c>
      <c r="D59" s="217"/>
      <c r="E59" s="217"/>
      <c r="F59" s="217"/>
      <c r="G59" s="217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J320"/>
  <sheetViews>
    <sheetView showGridLines="0" rightToLeft="1" topLeftCell="A97" zoomScale="304" zoomScaleNormal="260" workbookViewId="0">
      <selection activeCell="G168" sqref="G168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10" t="s">
        <v>3153</v>
      </c>
      <c r="B1" s="710"/>
      <c r="C1" s="710"/>
      <c r="D1" s="710"/>
      <c r="E1" s="710"/>
      <c r="F1" s="710"/>
      <c r="G1" s="710"/>
      <c r="H1" s="710"/>
    </row>
    <row r="3" spans="1:8" ht="16" thickBot="1" x14ac:dyDescent="0.25">
      <c r="A3" s="179" t="s">
        <v>1710</v>
      </c>
      <c r="B3" s="177"/>
      <c r="C3" s="177"/>
      <c r="D3" s="177"/>
      <c r="E3" s="177"/>
      <c r="F3" s="177"/>
      <c r="G3" s="177"/>
      <c r="H3" s="177"/>
    </row>
    <row r="4" spans="1:8" x14ac:dyDescent="0.2">
      <c r="A4" s="277" t="s">
        <v>1711</v>
      </c>
      <c r="B4" s="212"/>
      <c r="C4" s="212"/>
      <c r="D4" s="212"/>
      <c r="E4" s="212"/>
      <c r="F4" s="212"/>
      <c r="G4" s="212"/>
      <c r="H4" s="213"/>
    </row>
    <row r="5" spans="1:8" x14ac:dyDescent="0.2">
      <c r="A5" s="276" t="s">
        <v>1712</v>
      </c>
      <c r="H5" s="215"/>
    </row>
    <row r="6" spans="1:8" x14ac:dyDescent="0.2">
      <c r="A6" s="276" t="s">
        <v>1713</v>
      </c>
      <c r="H6" s="215"/>
    </row>
    <row r="7" spans="1:8" x14ac:dyDescent="0.2">
      <c r="A7" s="276"/>
      <c r="H7" s="215"/>
    </row>
    <row r="8" spans="1:8" x14ac:dyDescent="0.2">
      <c r="A8" s="276" t="s">
        <v>1714</v>
      </c>
      <c r="H8" s="215"/>
    </row>
    <row r="9" spans="1:8" x14ac:dyDescent="0.2">
      <c r="A9" s="276" t="s">
        <v>1715</v>
      </c>
      <c r="H9" s="215"/>
    </row>
    <row r="10" spans="1:8" x14ac:dyDescent="0.2">
      <c r="A10" s="276"/>
      <c r="H10" s="215"/>
    </row>
    <row r="11" spans="1:8" x14ac:dyDescent="0.2">
      <c r="A11" s="276" t="s">
        <v>1716</v>
      </c>
      <c r="B11" s="220" t="s">
        <v>2679</v>
      </c>
      <c r="H11" s="215"/>
    </row>
    <row r="12" spans="1:8" x14ac:dyDescent="0.2">
      <c r="A12" s="276"/>
      <c r="H12" s="215"/>
    </row>
    <row r="13" spans="1:8" x14ac:dyDescent="0.2">
      <c r="A13" s="276" t="s">
        <v>1717</v>
      </c>
      <c r="H13" s="215"/>
    </row>
    <row r="14" spans="1:8" ht="16" thickBot="1" x14ac:dyDescent="0.25">
      <c r="A14" s="234" t="s">
        <v>1718</v>
      </c>
      <c r="B14" s="217"/>
      <c r="C14" s="217"/>
      <c r="D14" s="217"/>
      <c r="E14" s="217"/>
      <c r="F14" s="217"/>
      <c r="G14" s="217"/>
      <c r="H14" s="218"/>
    </row>
    <row r="15" spans="1:8" ht="16" thickBot="1" x14ac:dyDescent="0.25"/>
    <row r="16" spans="1:8" x14ac:dyDescent="0.2">
      <c r="A16" s="277" t="s">
        <v>1719</v>
      </c>
      <c r="B16" s="212"/>
      <c r="C16" s="212"/>
      <c r="D16" s="212"/>
      <c r="E16" s="212"/>
      <c r="F16" s="212"/>
      <c r="G16" s="212"/>
      <c r="H16" s="213"/>
    </row>
    <row r="17" spans="1:8" ht="16" thickBot="1" x14ac:dyDescent="0.25">
      <c r="A17" s="234" t="s">
        <v>1720</v>
      </c>
      <c r="B17" s="217"/>
      <c r="C17" s="217"/>
      <c r="D17" s="217"/>
      <c r="E17" s="217"/>
      <c r="F17" s="217"/>
      <c r="G17" s="217"/>
      <c r="H17" s="218"/>
    </row>
    <row r="19" spans="1:8" x14ac:dyDescent="0.2">
      <c r="A19" s="43" t="s">
        <v>1721</v>
      </c>
    </row>
    <row r="20" spans="1:8" x14ac:dyDescent="0.2">
      <c r="A20" s="43" t="s">
        <v>1722</v>
      </c>
    </row>
    <row r="22" spans="1:8" x14ac:dyDescent="0.2">
      <c r="A22" s="43" t="s">
        <v>65</v>
      </c>
    </row>
    <row r="23" spans="1:8" x14ac:dyDescent="0.2">
      <c r="A23" s="47" t="s">
        <v>1723</v>
      </c>
      <c r="B23" s="43" t="s">
        <v>1724</v>
      </c>
    </row>
    <row r="24" spans="1:8" x14ac:dyDescent="0.2">
      <c r="A24" s="47" t="s">
        <v>1725</v>
      </c>
      <c r="B24" s="43" t="s">
        <v>1726</v>
      </c>
    </row>
    <row r="25" spans="1:8" x14ac:dyDescent="0.2">
      <c r="A25" s="202" t="s">
        <v>1727</v>
      </c>
      <c r="B25" s="43" t="s">
        <v>1728</v>
      </c>
    </row>
    <row r="27" spans="1:8" ht="18" x14ac:dyDescent="0.2">
      <c r="A27" s="598" t="s">
        <v>3154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2624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2625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1729</v>
      </c>
    </row>
    <row r="32" spans="1:8" x14ac:dyDescent="0.2">
      <c r="B32" s="59" t="s">
        <v>1134</v>
      </c>
      <c r="C32" s="59" t="s">
        <v>1730</v>
      </c>
    </row>
    <row r="33" spans="1:6" x14ac:dyDescent="0.2">
      <c r="A33" s="43" t="s">
        <v>2630</v>
      </c>
      <c r="B33" s="43" t="s">
        <v>1731</v>
      </c>
      <c r="C33" s="43">
        <v>100</v>
      </c>
      <c r="E33" s="201"/>
    </row>
    <row r="34" spans="1:6" x14ac:dyDescent="0.2">
      <c r="A34" s="43" t="s">
        <v>2626</v>
      </c>
      <c r="B34" s="43" t="s">
        <v>1732</v>
      </c>
      <c r="C34" s="43">
        <v>120</v>
      </c>
    </row>
    <row r="35" spans="1:6" x14ac:dyDescent="0.2">
      <c r="A35" s="43" t="s">
        <v>2627</v>
      </c>
      <c r="B35" s="43" t="s">
        <v>1733</v>
      </c>
      <c r="C35" s="43">
        <v>110</v>
      </c>
    </row>
    <row r="36" spans="1:6" x14ac:dyDescent="0.2">
      <c r="A36" s="43" t="s">
        <v>2628</v>
      </c>
      <c r="B36" s="43" t="s">
        <v>1734</v>
      </c>
      <c r="C36" s="43">
        <v>121</v>
      </c>
    </row>
    <row r="37" spans="1:6" x14ac:dyDescent="0.2">
      <c r="A37" s="43" t="s">
        <v>2629</v>
      </c>
      <c r="B37" s="43" t="s">
        <v>1735</v>
      </c>
      <c r="C37" s="43">
        <v>121</v>
      </c>
    </row>
    <row r="39" spans="1:6" x14ac:dyDescent="0.2">
      <c r="A39" s="43" t="s">
        <v>1736</v>
      </c>
    </row>
    <row r="40" spans="1:6" x14ac:dyDescent="0.2">
      <c r="A40" s="43" t="s">
        <v>2632</v>
      </c>
    </row>
    <row r="42" spans="1:6" x14ac:dyDescent="0.2">
      <c r="A42" s="44" t="s">
        <v>1737</v>
      </c>
    </row>
    <row r="43" spans="1:6" x14ac:dyDescent="0.2">
      <c r="A43" s="43" t="s">
        <v>2631</v>
      </c>
    </row>
    <row r="44" spans="1:6" x14ac:dyDescent="0.2">
      <c r="A44" s="44"/>
    </row>
    <row r="45" spans="1:6" x14ac:dyDescent="0.2">
      <c r="A45" s="599"/>
    </row>
    <row r="46" spans="1:6" x14ac:dyDescent="0.2">
      <c r="A46" s="44"/>
    </row>
    <row r="47" spans="1:6" x14ac:dyDescent="0.2">
      <c r="B47" s="49" t="s">
        <v>1134</v>
      </c>
      <c r="C47" s="49" t="s">
        <v>1730</v>
      </c>
      <c r="D47" s="49" t="s">
        <v>1738</v>
      </c>
      <c r="F47" s="43" t="s">
        <v>1739</v>
      </c>
    </row>
    <row r="48" spans="1:6" x14ac:dyDescent="0.2">
      <c r="B48" s="47" t="s">
        <v>1731</v>
      </c>
      <c r="C48" s="47">
        <v>100</v>
      </c>
      <c r="D48" s="47"/>
      <c r="F48" s="43" t="s">
        <v>1740</v>
      </c>
    </row>
    <row r="49" spans="1:9" x14ac:dyDescent="0.2">
      <c r="B49" s="47" t="s">
        <v>1732</v>
      </c>
      <c r="C49" s="47">
        <v>120</v>
      </c>
      <c r="D49" s="203">
        <f>C49/C48-1</f>
        <v>0.19999999999999996</v>
      </c>
      <c r="F49" s="43" t="s">
        <v>1741</v>
      </c>
    </row>
    <row r="50" spans="1:9" x14ac:dyDescent="0.2">
      <c r="B50" s="47" t="s">
        <v>1733</v>
      </c>
      <c r="C50" s="47">
        <v>110</v>
      </c>
      <c r="D50" s="203">
        <f>C50/C49-1</f>
        <v>-8.333333333333337E-2</v>
      </c>
      <c r="F50" s="43" t="s">
        <v>1742</v>
      </c>
    </row>
    <row r="51" spans="1:9" x14ac:dyDescent="0.2">
      <c r="B51" s="47" t="s">
        <v>1734</v>
      </c>
      <c r="C51" s="47">
        <v>121</v>
      </c>
      <c r="D51" s="203">
        <f>C51/C50-1</f>
        <v>0.10000000000000009</v>
      </c>
      <c r="F51" s="43" t="s">
        <v>1743</v>
      </c>
    </row>
    <row r="52" spans="1:9" x14ac:dyDescent="0.2">
      <c r="B52" s="47" t="s">
        <v>1735</v>
      </c>
      <c r="C52" s="47">
        <v>121</v>
      </c>
      <c r="D52" s="203">
        <f t="shared" ref="D52" si="0">C52/C51-1</f>
        <v>0</v>
      </c>
      <c r="F52" s="43" t="s">
        <v>1744</v>
      </c>
    </row>
    <row r="54" spans="1:9" x14ac:dyDescent="0.2">
      <c r="A54" s="44" t="s">
        <v>1745</v>
      </c>
    </row>
    <row r="55" spans="1:9" x14ac:dyDescent="0.2">
      <c r="A55" s="44"/>
      <c r="D55" s="47" t="s">
        <v>1738</v>
      </c>
      <c r="E55" s="47" t="s">
        <v>1738</v>
      </c>
    </row>
    <row r="56" spans="1:9" x14ac:dyDescent="0.2">
      <c r="A56" s="44"/>
      <c r="B56" s="49" t="s">
        <v>1134</v>
      </c>
      <c r="C56" s="49" t="s">
        <v>1730</v>
      </c>
      <c r="D56" s="49" t="s">
        <v>1746</v>
      </c>
      <c r="E56" s="49" t="s">
        <v>2634</v>
      </c>
    </row>
    <row r="57" spans="1:9" x14ac:dyDescent="0.2">
      <c r="A57" s="44"/>
      <c r="B57" s="47" t="s">
        <v>1731</v>
      </c>
      <c r="C57" s="47">
        <v>100</v>
      </c>
      <c r="D57" s="204"/>
      <c r="E57" s="204"/>
      <c r="H57" s="43" t="s">
        <v>2635</v>
      </c>
    </row>
    <row r="58" spans="1:9" x14ac:dyDescent="0.2">
      <c r="A58" s="44"/>
      <c r="B58" s="47" t="s">
        <v>1732</v>
      </c>
      <c r="C58" s="47">
        <v>120</v>
      </c>
      <c r="D58" s="152">
        <f>C58/C57-1</f>
        <v>0.19999999999999996</v>
      </c>
      <c r="E58" s="478">
        <f>D58+1</f>
        <v>1.2</v>
      </c>
      <c r="F58" s="43" t="s">
        <v>3155</v>
      </c>
    </row>
    <row r="59" spans="1:9" x14ac:dyDescent="0.2">
      <c r="A59" s="44"/>
      <c r="B59" s="47" t="s">
        <v>1733</v>
      </c>
      <c r="C59" s="47">
        <v>110</v>
      </c>
      <c r="D59" s="152">
        <f>C59/C58-1</f>
        <v>-8.333333333333337E-2</v>
      </c>
      <c r="E59" s="478">
        <f>D59+1</f>
        <v>0.91666666666666663</v>
      </c>
      <c r="F59" s="43" t="s">
        <v>3156</v>
      </c>
    </row>
    <row r="60" spans="1:9" x14ac:dyDescent="0.2">
      <c r="A60" s="44"/>
      <c r="B60" s="47" t="s">
        <v>1734</v>
      </c>
      <c r="C60" s="47">
        <v>121</v>
      </c>
      <c r="D60" s="152">
        <f>C60/C59-1</f>
        <v>0.10000000000000009</v>
      </c>
      <c r="E60" s="478">
        <f>D60+1</f>
        <v>1.1000000000000001</v>
      </c>
      <c r="G60" s="43" t="s">
        <v>1747</v>
      </c>
    </row>
    <row r="61" spans="1:9" x14ac:dyDescent="0.2">
      <c r="B61" s="47" t="s">
        <v>1735</v>
      </c>
      <c r="C61" s="47">
        <v>121</v>
      </c>
      <c r="D61" s="152">
        <f>C61/C60-1</f>
        <v>0</v>
      </c>
      <c r="E61" s="478">
        <f>D61+1</f>
        <v>1</v>
      </c>
      <c r="G61" s="479">
        <f>PRODUCT(E58:E61)-1</f>
        <v>0.20999999999999996</v>
      </c>
      <c r="I61" s="407" t="s">
        <v>3157</v>
      </c>
    </row>
    <row r="63" spans="1:9" x14ac:dyDescent="0.2">
      <c r="A63" s="43" t="s">
        <v>1748</v>
      </c>
    </row>
    <row r="64" spans="1:9" x14ac:dyDescent="0.2">
      <c r="A64" s="43" t="s">
        <v>1749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2633</v>
      </c>
    </row>
    <row r="67" spans="1:8" x14ac:dyDescent="0.2">
      <c r="A67" s="43" t="s">
        <v>1750</v>
      </c>
    </row>
    <row r="68" spans="1:8" x14ac:dyDescent="0.2">
      <c r="A68" s="43" t="s">
        <v>1751</v>
      </c>
    </row>
    <row r="69" spans="1:8" x14ac:dyDescent="0.2">
      <c r="C69" s="206">
        <f>C61/C57-1</f>
        <v>0.20999999999999996</v>
      </c>
      <c r="F69" s="43" t="s">
        <v>1752</v>
      </c>
    </row>
    <row r="71" spans="1:8" x14ac:dyDescent="0.2">
      <c r="A71" s="180" t="s">
        <v>3158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1753</v>
      </c>
    </row>
    <row r="73" spans="1:8" x14ac:dyDescent="0.2">
      <c r="A73" s="43" t="s">
        <v>1754</v>
      </c>
    </row>
    <row r="74" spans="1:8" x14ac:dyDescent="0.2">
      <c r="A74" s="43" t="s">
        <v>1755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2636</v>
      </c>
    </row>
    <row r="78" spans="1:8" x14ac:dyDescent="0.2">
      <c r="A78" s="44"/>
    </row>
    <row r="79" spans="1:8" x14ac:dyDescent="0.2">
      <c r="A79" s="44" t="s">
        <v>2637</v>
      </c>
    </row>
    <row r="80" spans="1:8" x14ac:dyDescent="0.2">
      <c r="A80" s="44" t="s">
        <v>2638</v>
      </c>
    </row>
    <row r="81" spans="1:8" x14ac:dyDescent="0.2">
      <c r="A81" s="44"/>
    </row>
    <row r="82" spans="1:8" x14ac:dyDescent="0.2">
      <c r="A82" s="43" t="s">
        <v>2639</v>
      </c>
    </row>
    <row r="83" spans="1:8" x14ac:dyDescent="0.2">
      <c r="A83" s="44"/>
    </row>
    <row r="84" spans="1:8" x14ac:dyDescent="0.2">
      <c r="A84" s="44"/>
      <c r="H84" s="43" t="s">
        <v>3163</v>
      </c>
    </row>
    <row r="85" spans="1:8" x14ac:dyDescent="0.2">
      <c r="A85" s="44"/>
      <c r="D85" s="600">
        <f>105.7/103.1-1</f>
        <v>2.5218234723569433E-2</v>
      </c>
      <c r="H85" s="43" t="s">
        <v>3164</v>
      </c>
    </row>
    <row r="86" spans="1:8" x14ac:dyDescent="0.2">
      <c r="A86" s="44"/>
      <c r="H86" s="43" t="s">
        <v>3166</v>
      </c>
    </row>
    <row r="87" spans="1:8" x14ac:dyDescent="0.2">
      <c r="A87" s="44"/>
      <c r="H87" s="43" t="s">
        <v>3165</v>
      </c>
    </row>
    <row r="88" spans="1:8" x14ac:dyDescent="0.2">
      <c r="A88" s="43" t="s">
        <v>3167</v>
      </c>
    </row>
    <row r="89" spans="1:8" x14ac:dyDescent="0.2">
      <c r="A89" s="44"/>
      <c r="D89" s="43" t="s">
        <v>2641</v>
      </c>
      <c r="F89" s="43" t="s">
        <v>2640</v>
      </c>
      <c r="H89" s="43" t="s">
        <v>3168</v>
      </c>
    </row>
    <row r="90" spans="1:8" x14ac:dyDescent="0.2">
      <c r="A90" s="44"/>
      <c r="H90" s="43" t="s">
        <v>3169</v>
      </c>
    </row>
    <row r="91" spans="1:8" x14ac:dyDescent="0.2">
      <c r="A91" s="44"/>
      <c r="H91" s="43" t="s">
        <v>3170</v>
      </c>
    </row>
    <row r="92" spans="1:8" x14ac:dyDescent="0.2">
      <c r="A92" s="43" t="s">
        <v>2642</v>
      </c>
    </row>
    <row r="93" spans="1:8" x14ac:dyDescent="0.2">
      <c r="A93" s="44"/>
      <c r="D93" s="601">
        <f>105000*(1+D85)</f>
        <v>107647.91464597479</v>
      </c>
      <c r="F93" s="43" t="s">
        <v>2643</v>
      </c>
      <c r="H93" s="43" t="s">
        <v>3171</v>
      </c>
    </row>
    <row r="94" spans="1:8" x14ac:dyDescent="0.2">
      <c r="A94" s="44"/>
    </row>
    <row r="95" spans="1:8" x14ac:dyDescent="0.2">
      <c r="A95" s="44"/>
      <c r="F95" s="43" t="s">
        <v>3160</v>
      </c>
    </row>
    <row r="96" spans="1:8" x14ac:dyDescent="0.2">
      <c r="A96" s="44" t="s">
        <v>2644</v>
      </c>
      <c r="G96" s="47" t="s">
        <v>3159</v>
      </c>
    </row>
    <row r="97" spans="1:8" s="256" customFormat="1" x14ac:dyDescent="0.2">
      <c r="A97" s="481"/>
      <c r="B97" s="480"/>
      <c r="C97" s="480"/>
      <c r="D97" s="602">
        <f>D93</f>
        <v>107647.91464597479</v>
      </c>
      <c r="E97" s="480"/>
      <c r="F97" s="480"/>
      <c r="G97" s="480"/>
    </row>
    <row r="98" spans="1:8" x14ac:dyDescent="0.2">
      <c r="A98" s="396" t="s">
        <v>1756</v>
      </c>
      <c r="B98" s="396"/>
      <c r="C98" s="396"/>
      <c r="D98" s="396"/>
      <c r="E98" s="396"/>
      <c r="F98" s="396"/>
      <c r="G98" s="396"/>
      <c r="H98" s="396"/>
    </row>
    <row r="99" spans="1:8" x14ac:dyDescent="0.2">
      <c r="A99" s="396"/>
      <c r="B99" s="396"/>
      <c r="C99" s="396"/>
      <c r="D99" s="396"/>
      <c r="E99" s="256" t="s">
        <v>3161</v>
      </c>
      <c r="F99" s="396"/>
      <c r="G99" s="396"/>
      <c r="H99" s="396"/>
    </row>
    <row r="100" spans="1:8" x14ac:dyDescent="0.2">
      <c r="A100" s="396"/>
      <c r="B100" s="396"/>
      <c r="C100" s="396"/>
      <c r="D100" s="396"/>
      <c r="E100" s="256" t="s">
        <v>3162</v>
      </c>
      <c r="F100" s="396"/>
      <c r="G100" s="396"/>
      <c r="H100" s="396"/>
    </row>
    <row r="101" spans="1:8" x14ac:dyDescent="0.2">
      <c r="A101" s="396"/>
      <c r="B101" s="396"/>
      <c r="C101" s="396"/>
      <c r="D101" s="396"/>
      <c r="E101" s="396"/>
      <c r="F101" s="396"/>
      <c r="G101" s="396"/>
      <c r="H101" s="396"/>
    </row>
    <row r="102" spans="1:8" x14ac:dyDescent="0.2">
      <c r="A102" s="480" t="s">
        <v>2645</v>
      </c>
      <c r="B102" s="603"/>
      <c r="C102" s="603"/>
      <c r="D102" s="603"/>
      <c r="E102" s="603"/>
      <c r="F102" s="603"/>
      <c r="G102" s="396"/>
      <c r="H102" s="396"/>
    </row>
    <row r="103" spans="1:8" x14ac:dyDescent="0.2">
      <c r="A103" s="480" t="s">
        <v>2646</v>
      </c>
      <c r="B103" s="603"/>
      <c r="C103" s="603"/>
      <c r="D103" s="603"/>
      <c r="E103" s="603"/>
      <c r="F103" s="603"/>
      <c r="G103" s="396"/>
      <c r="H103" s="396"/>
    </row>
    <row r="104" spans="1:8" x14ac:dyDescent="0.2">
      <c r="A104" s="256"/>
      <c r="B104" s="396"/>
      <c r="C104" s="396"/>
      <c r="D104" s="396"/>
      <c r="E104" s="396"/>
      <c r="F104" s="396"/>
      <c r="G104" s="396"/>
      <c r="H104" s="396"/>
    </row>
    <row r="106" spans="1:8" ht="18" x14ac:dyDescent="0.2">
      <c r="A106" s="598" t="s">
        <v>1757</v>
      </c>
      <c r="B106" s="180"/>
      <c r="C106" s="180"/>
      <c r="D106" s="180"/>
      <c r="E106" s="180"/>
      <c r="F106" s="180"/>
      <c r="G106" s="180"/>
      <c r="H106" s="180"/>
    </row>
    <row r="107" spans="1:8" x14ac:dyDescent="0.2">
      <c r="A107" s="180" t="s">
        <v>2647</v>
      </c>
      <c r="B107" s="180"/>
      <c r="C107" s="180"/>
      <c r="D107" s="180"/>
      <c r="E107" s="180"/>
      <c r="F107" s="180"/>
      <c r="G107" s="180"/>
      <c r="H107" s="180"/>
    </row>
    <row r="108" spans="1:8" x14ac:dyDescent="0.2">
      <c r="A108" s="180" t="s">
        <v>2648</v>
      </c>
      <c r="B108" s="180"/>
      <c r="C108" s="180"/>
      <c r="D108" s="180"/>
      <c r="E108" s="180"/>
      <c r="F108" s="180"/>
      <c r="G108" s="180"/>
      <c r="H108" s="180"/>
    </row>
    <row r="109" spans="1:8" x14ac:dyDescent="0.2">
      <c r="A109" s="180" t="s">
        <v>2649</v>
      </c>
      <c r="B109" s="180"/>
      <c r="C109" s="180"/>
      <c r="D109" s="180"/>
      <c r="E109" s="180"/>
      <c r="F109" s="180"/>
      <c r="G109" s="180"/>
      <c r="H109" s="180"/>
    </row>
    <row r="110" spans="1:8" x14ac:dyDescent="0.2">
      <c r="A110" s="43" t="s">
        <v>1758</v>
      </c>
    </row>
    <row r="111" spans="1:8" x14ac:dyDescent="0.2">
      <c r="A111" s="43" t="s">
        <v>1759</v>
      </c>
    </row>
    <row r="112" spans="1:8" x14ac:dyDescent="0.2">
      <c r="A112" s="43" t="s">
        <v>1760</v>
      </c>
    </row>
    <row r="114" spans="1:8" x14ac:dyDescent="0.2">
      <c r="A114" s="43" t="s">
        <v>321</v>
      </c>
    </row>
    <row r="115" spans="1:8" x14ac:dyDescent="0.2">
      <c r="A115" s="43" t="s">
        <v>2652</v>
      </c>
    </row>
    <row r="117" spans="1:8" x14ac:dyDescent="0.2">
      <c r="A117" s="43" t="s">
        <v>111</v>
      </c>
    </row>
    <row r="118" spans="1:8" x14ac:dyDescent="0.2">
      <c r="A118" s="43" t="s">
        <v>1761</v>
      </c>
    </row>
    <row r="119" spans="1:8" x14ac:dyDescent="0.2">
      <c r="A119" s="79" t="s">
        <v>1762</v>
      </c>
      <c r="B119" s="44"/>
      <c r="C119" s="44"/>
      <c r="D119" s="44"/>
      <c r="E119" s="44"/>
      <c r="F119" s="44"/>
      <c r="G119" s="44"/>
      <c r="H119" s="44"/>
    </row>
    <row r="120" spans="1:8" x14ac:dyDescent="0.2">
      <c r="A120" s="44" t="s">
        <v>1763</v>
      </c>
      <c r="B120" s="44"/>
      <c r="C120" s="44"/>
      <c r="D120" s="44"/>
      <c r="E120" s="44"/>
      <c r="F120" s="44"/>
      <c r="G120" s="44"/>
      <c r="H120" s="44"/>
    </row>
    <row r="121" spans="1:8" x14ac:dyDescent="0.2">
      <c r="A121" s="44"/>
      <c r="B121" s="44"/>
      <c r="C121" s="44"/>
      <c r="D121" s="44"/>
      <c r="E121" s="44"/>
      <c r="F121" s="44"/>
      <c r="G121" s="44"/>
      <c r="H121" s="44"/>
    </row>
    <row r="122" spans="1:8" x14ac:dyDescent="0.2">
      <c r="A122" s="43" t="s">
        <v>1764</v>
      </c>
    </row>
    <row r="123" spans="1:8" x14ac:dyDescent="0.2">
      <c r="A123" s="43" t="s">
        <v>1765</v>
      </c>
    </row>
    <row r="125" spans="1:8" x14ac:dyDescent="0.2">
      <c r="A125" s="43" t="s">
        <v>1766</v>
      </c>
    </row>
    <row r="126" spans="1:8" x14ac:dyDescent="0.2">
      <c r="A126" s="44" t="s">
        <v>1767</v>
      </c>
      <c r="B126" s="44"/>
      <c r="C126" s="44"/>
      <c r="D126" s="44"/>
      <c r="E126" s="44"/>
    </row>
    <row r="127" spans="1:8" x14ac:dyDescent="0.2">
      <c r="H127" s="43" t="s">
        <v>3172</v>
      </c>
    </row>
    <row r="130" spans="1:10" x14ac:dyDescent="0.2">
      <c r="H130" s="43" t="s">
        <v>3173</v>
      </c>
    </row>
    <row r="133" spans="1:10" x14ac:dyDescent="0.2">
      <c r="H133" s="43" t="s">
        <v>3174</v>
      </c>
    </row>
    <row r="134" spans="1:10" x14ac:dyDescent="0.2">
      <c r="H134" s="43" t="s">
        <v>3175</v>
      </c>
    </row>
    <row r="136" spans="1:10" x14ac:dyDescent="0.2">
      <c r="A136" s="43" t="s">
        <v>2650</v>
      </c>
      <c r="H136" s="44" t="s">
        <v>3176</v>
      </c>
    </row>
    <row r="137" spans="1:10" x14ac:dyDescent="0.2">
      <c r="A137" s="43" t="s">
        <v>2651</v>
      </c>
      <c r="H137" s="44" t="s">
        <v>3177</v>
      </c>
      <c r="I137" s="44"/>
      <c r="J137" s="44"/>
    </row>
    <row r="138" spans="1:10" x14ac:dyDescent="0.2">
      <c r="H138" s="44" t="s">
        <v>3178</v>
      </c>
      <c r="I138" s="44"/>
      <c r="J138" s="44"/>
    </row>
    <row r="139" spans="1:10" x14ac:dyDescent="0.2">
      <c r="A139" s="44" t="s">
        <v>1768</v>
      </c>
    </row>
    <row r="141" spans="1:10" x14ac:dyDescent="0.2">
      <c r="A141" s="44" t="s">
        <v>1769</v>
      </c>
    </row>
    <row r="142" spans="1:10" x14ac:dyDescent="0.2">
      <c r="A142" s="43" t="s">
        <v>3179</v>
      </c>
    </row>
    <row r="143" spans="1:10" x14ac:dyDescent="0.2">
      <c r="A143" s="43" t="s">
        <v>3180</v>
      </c>
    </row>
    <row r="144" spans="1:10" x14ac:dyDescent="0.2">
      <c r="A144" s="43" t="s">
        <v>3181</v>
      </c>
    </row>
    <row r="145" spans="1:9" x14ac:dyDescent="0.2">
      <c r="A145" s="43" t="s">
        <v>3182</v>
      </c>
    </row>
    <row r="147" spans="1:9" x14ac:dyDescent="0.2">
      <c r="A147" s="180" t="s">
        <v>1770</v>
      </c>
      <c r="B147" s="180"/>
      <c r="C147" s="180"/>
      <c r="D147" s="180"/>
      <c r="E147" s="180"/>
      <c r="F147" s="180"/>
      <c r="G147" s="180"/>
      <c r="H147" s="180"/>
    </row>
    <row r="148" spans="1:9" x14ac:dyDescent="0.2">
      <c r="A148" s="43" t="s">
        <v>1771</v>
      </c>
    </row>
    <row r="149" spans="1:9" x14ac:dyDescent="0.2">
      <c r="A149" s="43" t="s">
        <v>1772</v>
      </c>
    </row>
    <row r="150" spans="1:9" x14ac:dyDescent="0.2">
      <c r="A150" s="43" t="s">
        <v>1773</v>
      </c>
    </row>
    <row r="151" spans="1:9" x14ac:dyDescent="0.2">
      <c r="A151" s="43" t="s">
        <v>1774</v>
      </c>
      <c r="I151"/>
    </row>
    <row r="152" spans="1:9" x14ac:dyDescent="0.2">
      <c r="I152"/>
    </row>
    <row r="153" spans="1:9" x14ac:dyDescent="0.2">
      <c r="A153" s="43" t="s">
        <v>1775</v>
      </c>
      <c r="I153"/>
    </row>
    <row r="154" spans="1:9" x14ac:dyDescent="0.2">
      <c r="A154" s="43" t="s">
        <v>1776</v>
      </c>
      <c r="H154" s="43" t="s">
        <v>2653</v>
      </c>
      <c r="I154"/>
    </row>
    <row r="155" spans="1:9" x14ac:dyDescent="0.2">
      <c r="A155" s="43" t="s">
        <v>1777</v>
      </c>
      <c r="I155"/>
    </row>
    <row r="156" spans="1:9" x14ac:dyDescent="0.2">
      <c r="E156" s="76">
        <f>10000*1.06*1.0283</f>
        <v>10899.98</v>
      </c>
      <c r="H156" s="43" t="s">
        <v>2654</v>
      </c>
      <c r="I156"/>
    </row>
    <row r="157" spans="1:9" x14ac:dyDescent="0.2">
      <c r="I157"/>
    </row>
    <row r="158" spans="1:9" x14ac:dyDescent="0.2">
      <c r="A158" s="43" t="s">
        <v>2655</v>
      </c>
      <c r="I158"/>
    </row>
    <row r="159" spans="1:9" x14ac:dyDescent="0.2">
      <c r="I159"/>
    </row>
    <row r="160" spans="1:9" x14ac:dyDescent="0.2">
      <c r="A160" s="180" t="s">
        <v>3183</v>
      </c>
      <c r="B160" s="180"/>
      <c r="C160" s="180"/>
      <c r="D160" s="180"/>
      <c r="E160" s="180"/>
      <c r="F160" s="180"/>
      <c r="G160" s="180"/>
      <c r="H160" s="180"/>
      <c r="I160"/>
    </row>
    <row r="161" spans="1:9" x14ac:dyDescent="0.2">
      <c r="A161" s="43" t="s">
        <v>2658</v>
      </c>
      <c r="I161"/>
    </row>
    <row r="162" spans="1:9" x14ac:dyDescent="0.2">
      <c r="A162" s="43" t="s">
        <v>1778</v>
      </c>
      <c r="I162"/>
    </row>
    <row r="163" spans="1:9" x14ac:dyDescent="0.2">
      <c r="A163" s="43" t="s">
        <v>3218</v>
      </c>
      <c r="I163"/>
    </row>
    <row r="164" spans="1:9" x14ac:dyDescent="0.2">
      <c r="A164" s="43" t="s">
        <v>1779</v>
      </c>
      <c r="I164"/>
    </row>
    <row r="165" spans="1:9" x14ac:dyDescent="0.2">
      <c r="I165"/>
    </row>
    <row r="166" spans="1:9" x14ac:dyDescent="0.2">
      <c r="A166" s="43" t="s">
        <v>111</v>
      </c>
      <c r="I166"/>
    </row>
    <row r="167" spans="1:9" x14ac:dyDescent="0.2">
      <c r="A167" s="43" t="s">
        <v>2656</v>
      </c>
      <c r="I167"/>
    </row>
    <row r="168" spans="1:9" x14ac:dyDescent="0.2">
      <c r="A168" s="43" t="s">
        <v>2657</v>
      </c>
      <c r="I168"/>
    </row>
    <row r="169" spans="1:9" x14ac:dyDescent="0.2">
      <c r="A169" s="43" t="s">
        <v>2659</v>
      </c>
      <c r="I169"/>
    </row>
    <row r="170" spans="1:9" x14ac:dyDescent="0.2">
      <c r="A170" s="43" t="s">
        <v>2660</v>
      </c>
      <c r="E170" s="72">
        <v>5.0000000000000001E-3</v>
      </c>
      <c r="F170" s="43" t="s">
        <v>87</v>
      </c>
      <c r="G170" s="43" t="s">
        <v>2662</v>
      </c>
      <c r="I170"/>
    </row>
    <row r="171" spans="1:9" x14ac:dyDescent="0.2">
      <c r="E171" s="47">
        <v>30</v>
      </c>
      <c r="F171" s="43" t="s">
        <v>89</v>
      </c>
      <c r="G171" s="43" t="s">
        <v>2661</v>
      </c>
      <c r="I171"/>
    </row>
    <row r="172" spans="1:9" x14ac:dyDescent="0.2">
      <c r="E172" s="47">
        <v>100000</v>
      </c>
      <c r="F172" s="43" t="s">
        <v>281</v>
      </c>
      <c r="G172" s="43" t="s">
        <v>2663</v>
      </c>
      <c r="I172"/>
    </row>
    <row r="173" spans="1:9" x14ac:dyDescent="0.2">
      <c r="A173" s="43" t="s">
        <v>3184</v>
      </c>
      <c r="E173" s="662">
        <f>PMT(E170,E171,E172,E174)</f>
        <v>-3597.8918413828028</v>
      </c>
      <c r="F173" s="43" t="s">
        <v>91</v>
      </c>
      <c r="G173" s="43" t="s">
        <v>2665</v>
      </c>
      <c r="I173"/>
    </row>
    <row r="174" spans="1:9" x14ac:dyDescent="0.2">
      <c r="E174" s="47">
        <v>0</v>
      </c>
      <c r="F174" s="43" t="s">
        <v>105</v>
      </c>
      <c r="G174" s="43" t="s">
        <v>2664</v>
      </c>
      <c r="I174"/>
    </row>
    <row r="175" spans="1:9" ht="16" thickBot="1" x14ac:dyDescent="0.25">
      <c r="I175"/>
    </row>
    <row r="176" spans="1:9" ht="16" thickBot="1" x14ac:dyDescent="0.25">
      <c r="A176" s="43" t="s">
        <v>1780</v>
      </c>
      <c r="F176" s="209">
        <f>-E173*1.011</f>
        <v>3637.4686516380134</v>
      </c>
      <c r="H176" s="43" t="s">
        <v>1781</v>
      </c>
      <c r="I176"/>
    </row>
    <row r="177" spans="1:9" x14ac:dyDescent="0.2">
      <c r="I177"/>
    </row>
    <row r="178" spans="1:9" x14ac:dyDescent="0.2">
      <c r="G178" s="43" t="s">
        <v>3185</v>
      </c>
      <c r="I178"/>
    </row>
    <row r="179" spans="1:9" x14ac:dyDescent="0.2">
      <c r="I179"/>
    </row>
    <row r="180" spans="1:9" x14ac:dyDescent="0.2">
      <c r="B180" s="43" t="s">
        <v>2666</v>
      </c>
      <c r="I180"/>
    </row>
    <row r="181" spans="1:9" x14ac:dyDescent="0.2">
      <c r="I181"/>
    </row>
    <row r="182" spans="1:9" ht="16" thickBot="1" x14ac:dyDescent="0.25">
      <c r="A182" s="43" t="s">
        <v>3186</v>
      </c>
      <c r="I182"/>
    </row>
    <row r="183" spans="1:9" ht="16" thickBot="1" x14ac:dyDescent="0.25">
      <c r="F183" s="209">
        <f>-E173*114.4/110</f>
        <v>3741.8075150381151</v>
      </c>
      <c r="G183" s="723" t="s">
        <v>3187</v>
      </c>
      <c r="H183" s="691"/>
      <c r="I183" s="691"/>
    </row>
    <row r="184" spans="1:9" x14ac:dyDescent="0.2">
      <c r="I184"/>
    </row>
    <row r="185" spans="1:9" x14ac:dyDescent="0.2">
      <c r="I185"/>
    </row>
    <row r="186" spans="1:9" x14ac:dyDescent="0.2">
      <c r="I186"/>
    </row>
    <row r="187" spans="1:9" x14ac:dyDescent="0.2">
      <c r="I187"/>
    </row>
    <row r="188" spans="1:9" x14ac:dyDescent="0.2">
      <c r="A188" s="43" t="s">
        <v>2667</v>
      </c>
      <c r="I188"/>
    </row>
    <row r="189" spans="1:9" x14ac:dyDescent="0.2">
      <c r="F189" s="604">
        <f>114.4/110-1</f>
        <v>4.0000000000000036E-2</v>
      </c>
      <c r="H189" s="43" t="s">
        <v>2668</v>
      </c>
      <c r="I189"/>
    </row>
    <row r="190" spans="1:9" x14ac:dyDescent="0.2">
      <c r="I190"/>
    </row>
    <row r="191" spans="1:9" x14ac:dyDescent="0.2">
      <c r="F191" s="43" t="s">
        <v>3190</v>
      </c>
      <c r="H191" s="43" t="s">
        <v>2630</v>
      </c>
      <c r="I191" t="s">
        <v>3188</v>
      </c>
    </row>
    <row r="192" spans="1:9" x14ac:dyDescent="0.2">
      <c r="F192" s="43" t="s">
        <v>3191</v>
      </c>
      <c r="H192" s="43" t="s">
        <v>3189</v>
      </c>
      <c r="I192"/>
    </row>
    <row r="193" spans="1:9" ht="16" thickBot="1" x14ac:dyDescent="0.25">
      <c r="A193" s="43" t="s">
        <v>2669</v>
      </c>
    </row>
    <row r="194" spans="1:9" ht="16" thickBot="1" x14ac:dyDescent="0.25">
      <c r="F194" s="605">
        <f>F183</f>
        <v>3741.8075150381151</v>
      </c>
      <c r="H194" s="43" t="s">
        <v>2670</v>
      </c>
      <c r="I194"/>
    </row>
    <row r="195" spans="1:9" x14ac:dyDescent="0.2">
      <c r="I195"/>
    </row>
    <row r="196" spans="1:9" x14ac:dyDescent="0.2">
      <c r="I196"/>
    </row>
    <row r="197" spans="1:9" x14ac:dyDescent="0.2">
      <c r="I197"/>
    </row>
    <row r="198" spans="1:9" x14ac:dyDescent="0.2">
      <c r="A198" s="44" t="s">
        <v>1782</v>
      </c>
      <c r="B198" s="43" t="s">
        <v>3192</v>
      </c>
      <c r="I198"/>
    </row>
    <row r="199" spans="1:9" x14ac:dyDescent="0.2">
      <c r="B199" s="43" t="s">
        <v>3193</v>
      </c>
      <c r="I199"/>
    </row>
    <row r="200" spans="1:9" x14ac:dyDescent="0.2">
      <c r="B200" s="43" t="s">
        <v>3201</v>
      </c>
      <c r="I200"/>
    </row>
    <row r="201" spans="1:9" x14ac:dyDescent="0.2">
      <c r="I201"/>
    </row>
    <row r="202" spans="1:9" x14ac:dyDescent="0.2">
      <c r="B202" s="43" t="s">
        <v>3194</v>
      </c>
      <c r="E202" s="161"/>
      <c r="I202"/>
    </row>
    <row r="203" spans="1:9" x14ac:dyDescent="0.2">
      <c r="B203" s="43" t="s">
        <v>3195</v>
      </c>
      <c r="I203"/>
    </row>
    <row r="204" spans="1:9" ht="48" x14ac:dyDescent="0.2">
      <c r="B204" s="663" t="s">
        <v>3200</v>
      </c>
      <c r="C204" s="663" t="s">
        <v>3199</v>
      </c>
      <c r="D204" s="663" t="s">
        <v>3197</v>
      </c>
      <c r="E204" s="663" t="s">
        <v>3196</v>
      </c>
      <c r="I204"/>
    </row>
    <row r="205" spans="1:9" x14ac:dyDescent="0.2">
      <c r="D205" s="72">
        <v>5.0000000000000001E-3</v>
      </c>
      <c r="E205" s="72">
        <v>5.0000000000000001E-3</v>
      </c>
      <c r="F205" s="43" t="s">
        <v>87</v>
      </c>
      <c r="I205"/>
    </row>
    <row r="206" spans="1:9" x14ac:dyDescent="0.2">
      <c r="D206" s="47">
        <f>E206-5</f>
        <v>25</v>
      </c>
      <c r="E206" s="47">
        <v>30</v>
      </c>
      <c r="F206" s="43" t="s">
        <v>89</v>
      </c>
      <c r="I206"/>
    </row>
    <row r="207" spans="1:9" x14ac:dyDescent="0.2">
      <c r="D207" s="228">
        <f>E207</f>
        <v>-3597.8918413828028</v>
      </c>
      <c r="E207" s="664">
        <f>PMT(E205,E206,E208,E209)</f>
        <v>-3597.8918413828028</v>
      </c>
      <c r="F207" s="43" t="s">
        <v>91</v>
      </c>
      <c r="I207"/>
    </row>
    <row r="208" spans="1:9" x14ac:dyDescent="0.2">
      <c r="B208" s="666">
        <f>D208*114.4/110</f>
        <v>87729.064581532934</v>
      </c>
      <c r="C208" s="43" t="s">
        <v>3198</v>
      </c>
      <c r="D208" s="665">
        <f>PV(D205,D206,D207,D209)</f>
        <v>84354.869789935503</v>
      </c>
      <c r="E208" s="47">
        <v>100000</v>
      </c>
      <c r="F208" s="43" t="s">
        <v>281</v>
      </c>
      <c r="I208"/>
    </row>
    <row r="209" spans="1:9" x14ac:dyDescent="0.2">
      <c r="D209" s="47">
        <v>0</v>
      </c>
      <c r="E209" s="47">
        <v>0</v>
      </c>
      <c r="F209" s="43" t="s">
        <v>105</v>
      </c>
      <c r="I209"/>
    </row>
    <row r="210" spans="1:9" x14ac:dyDescent="0.2">
      <c r="I210"/>
    </row>
    <row r="211" spans="1:9" x14ac:dyDescent="0.2">
      <c r="I211"/>
    </row>
    <row r="212" spans="1:9" x14ac:dyDescent="0.2">
      <c r="I212"/>
    </row>
    <row r="213" spans="1:9" ht="16" thickBot="1" x14ac:dyDescent="0.25">
      <c r="B213" s="43" t="s">
        <v>1783</v>
      </c>
      <c r="I213"/>
    </row>
    <row r="214" spans="1:9" ht="16" thickBot="1" x14ac:dyDescent="0.25">
      <c r="E214" s="209">
        <f>B208</f>
        <v>87729.064581532934</v>
      </c>
      <c r="H214" s="43" t="s">
        <v>2671</v>
      </c>
      <c r="I214"/>
    </row>
    <row r="215" spans="1:9" x14ac:dyDescent="0.2">
      <c r="I215"/>
    </row>
    <row r="216" spans="1:9" x14ac:dyDescent="0.2">
      <c r="I216"/>
    </row>
    <row r="217" spans="1:9" x14ac:dyDescent="0.2">
      <c r="A217" s="43" t="s">
        <v>2672</v>
      </c>
      <c r="I217"/>
    </row>
    <row r="218" spans="1:9" x14ac:dyDescent="0.2">
      <c r="A218" s="44" t="s">
        <v>2673</v>
      </c>
      <c r="I218"/>
    </row>
    <row r="219" spans="1:9" x14ac:dyDescent="0.2">
      <c r="I219"/>
    </row>
    <row r="220" spans="1:9" x14ac:dyDescent="0.2">
      <c r="A220" s="667" t="s">
        <v>3202</v>
      </c>
      <c r="B220" s="667"/>
      <c r="C220" s="667"/>
      <c r="D220" s="667"/>
      <c r="E220" s="667"/>
      <c r="F220" s="667"/>
      <c r="G220" s="667"/>
      <c r="H220" s="667"/>
      <c r="I220"/>
    </row>
    <row r="221" spans="1:9" x14ac:dyDescent="0.2">
      <c r="H221" s="43" t="s">
        <v>3204</v>
      </c>
      <c r="I221"/>
    </row>
    <row r="222" spans="1:9" x14ac:dyDescent="0.2">
      <c r="A222" s="43" t="s">
        <v>3203</v>
      </c>
      <c r="H222" s="724">
        <v>1</v>
      </c>
      <c r="I222"/>
    </row>
    <row r="223" spans="1:9" x14ac:dyDescent="0.2">
      <c r="A223" s="43" t="s">
        <v>3205</v>
      </c>
      <c r="H223" s="724"/>
      <c r="I223"/>
    </row>
    <row r="224" spans="1:9" x14ac:dyDescent="0.2">
      <c r="B224" s="43" t="s">
        <v>3206</v>
      </c>
      <c r="H224" s="724"/>
      <c r="I224"/>
    </row>
    <row r="225" spans="1:9" x14ac:dyDescent="0.2">
      <c r="B225" s="43" t="s">
        <v>3207</v>
      </c>
      <c r="H225" s="724"/>
      <c r="I225"/>
    </row>
    <row r="226" spans="1:9" x14ac:dyDescent="0.2">
      <c r="A226" s="43" t="s">
        <v>3208</v>
      </c>
      <c r="H226" s="724">
        <v>2</v>
      </c>
      <c r="I226"/>
    </row>
    <row r="227" spans="1:9" x14ac:dyDescent="0.2">
      <c r="B227" s="43" t="s">
        <v>3209</v>
      </c>
      <c r="H227" s="724"/>
      <c r="I227"/>
    </row>
    <row r="228" spans="1:9" x14ac:dyDescent="0.2">
      <c r="B228" s="43" t="s">
        <v>3210</v>
      </c>
      <c r="H228" s="724"/>
      <c r="I228"/>
    </row>
    <row r="229" spans="1:9" x14ac:dyDescent="0.2">
      <c r="A229" s="43" t="s">
        <v>3211</v>
      </c>
      <c r="H229" s="724">
        <v>3</v>
      </c>
      <c r="I229"/>
    </row>
    <row r="230" spans="1:9" x14ac:dyDescent="0.2">
      <c r="A230" s="43" t="s">
        <v>3212</v>
      </c>
      <c r="H230" s="724"/>
      <c r="I230"/>
    </row>
    <row r="231" spans="1:9" x14ac:dyDescent="0.2">
      <c r="A231" s="43" t="s">
        <v>3215</v>
      </c>
      <c r="H231" s="724">
        <v>5</v>
      </c>
      <c r="I231"/>
    </row>
    <row r="232" spans="1:9" x14ac:dyDescent="0.2">
      <c r="B232" s="43" t="s">
        <v>3213</v>
      </c>
      <c r="H232" s="724"/>
      <c r="I232"/>
    </row>
    <row r="233" spans="1:9" x14ac:dyDescent="0.2">
      <c r="B233" s="43" t="s">
        <v>3214</v>
      </c>
      <c r="H233" s="724"/>
      <c r="I233"/>
    </row>
    <row r="234" spans="1:9" x14ac:dyDescent="0.2">
      <c r="A234" s="43" t="s">
        <v>3216</v>
      </c>
      <c r="H234" s="724"/>
      <c r="I234"/>
    </row>
    <row r="235" spans="1:9" x14ac:dyDescent="0.2">
      <c r="B235" s="43" t="s">
        <v>3217</v>
      </c>
      <c r="H235" s="724"/>
      <c r="I235"/>
    </row>
    <row r="236" spans="1:9" x14ac:dyDescent="0.2">
      <c r="I236"/>
    </row>
    <row r="237" spans="1:9" x14ac:dyDescent="0.2">
      <c r="A237" s="181" t="s">
        <v>1784</v>
      </c>
      <c r="B237" s="181"/>
      <c r="C237" s="181"/>
      <c r="D237" s="181"/>
      <c r="E237" s="181" t="s">
        <v>780</v>
      </c>
      <c r="F237" s="181"/>
      <c r="G237" s="181"/>
      <c r="H237" s="181"/>
    </row>
    <row r="238" spans="1:9" x14ac:dyDescent="0.2">
      <c r="A238" s="43" t="s">
        <v>1785</v>
      </c>
    </row>
    <row r="239" spans="1:9" x14ac:dyDescent="0.2">
      <c r="A239" s="59" t="s">
        <v>1134</v>
      </c>
      <c r="B239" s="59" t="s">
        <v>1786</v>
      </c>
    </row>
    <row r="240" spans="1:9" x14ac:dyDescent="0.2">
      <c r="A240" s="43" t="s">
        <v>1787</v>
      </c>
      <c r="B240" s="161">
        <v>5.0000000000000001E-3</v>
      </c>
    </row>
    <row r="241" spans="1:2" x14ac:dyDescent="0.2">
      <c r="A241" s="43" t="s">
        <v>1788</v>
      </c>
      <c r="B241" s="161">
        <v>5.0000000000000001E-3</v>
      </c>
    </row>
    <row r="242" spans="1:2" x14ac:dyDescent="0.2">
      <c r="A242" s="43" t="s">
        <v>1789</v>
      </c>
      <c r="B242" s="161">
        <v>-2E-3</v>
      </c>
    </row>
    <row r="243" spans="1:2" x14ac:dyDescent="0.2">
      <c r="A243" s="43" t="s">
        <v>1790</v>
      </c>
      <c r="B243" s="161">
        <v>-4.0000000000000001E-3</v>
      </c>
    </row>
    <row r="244" spans="1:2" x14ac:dyDescent="0.2">
      <c r="A244" s="43" t="s">
        <v>1791</v>
      </c>
      <c r="B244" s="161">
        <v>-2E-3</v>
      </c>
    </row>
    <row r="245" spans="1:2" x14ac:dyDescent="0.2">
      <c r="A245" s="43" t="s">
        <v>1792</v>
      </c>
      <c r="B245" s="161">
        <v>5.0000000000000001E-3</v>
      </c>
    </row>
    <row r="246" spans="1:2" x14ac:dyDescent="0.2">
      <c r="A246" s="43" t="s">
        <v>1793</v>
      </c>
      <c r="B246" s="161">
        <v>3.0000000000000001E-3</v>
      </c>
    </row>
    <row r="247" spans="1:2" x14ac:dyDescent="0.2">
      <c r="A247" s="43" t="s">
        <v>1794</v>
      </c>
      <c r="B247" s="161">
        <v>-0.02</v>
      </c>
    </row>
    <row r="248" spans="1:2" x14ac:dyDescent="0.2">
      <c r="A248" s="43" t="s">
        <v>1795</v>
      </c>
      <c r="B248" s="161">
        <v>3.0000000000000001E-3</v>
      </c>
    </row>
    <row r="249" spans="1:2" x14ac:dyDescent="0.2">
      <c r="A249" s="43" t="s">
        <v>1796</v>
      </c>
      <c r="B249" s="161">
        <v>5.0000000000000001E-3</v>
      </c>
    </row>
    <row r="250" spans="1:2" x14ac:dyDescent="0.2">
      <c r="A250" s="43" t="s">
        <v>1797</v>
      </c>
      <c r="B250" s="161">
        <v>-2E-3</v>
      </c>
    </row>
    <row r="251" spans="1:2" x14ac:dyDescent="0.2">
      <c r="A251" s="43" t="s">
        <v>1798</v>
      </c>
      <c r="B251" s="161">
        <v>3.0000000000000001E-3</v>
      </c>
    </row>
    <row r="253" spans="1:2" x14ac:dyDescent="0.2">
      <c r="A253" s="43" t="s">
        <v>321</v>
      </c>
    </row>
    <row r="254" spans="1:2" x14ac:dyDescent="0.2">
      <c r="A254" s="43" t="s">
        <v>1799</v>
      </c>
    </row>
    <row r="255" spans="1:2" x14ac:dyDescent="0.2">
      <c r="A255" s="43" t="s">
        <v>1800</v>
      </c>
    </row>
    <row r="257" spans="1:8" x14ac:dyDescent="0.2">
      <c r="A257" s="44" t="s">
        <v>2674</v>
      </c>
    </row>
    <row r="258" spans="1:8" x14ac:dyDescent="0.2">
      <c r="A258" s="59" t="s">
        <v>1134</v>
      </c>
      <c r="B258" s="59" t="s">
        <v>1786</v>
      </c>
      <c r="C258" s="49" t="s">
        <v>1801</v>
      </c>
    </row>
    <row r="259" spans="1:8" x14ac:dyDescent="0.2">
      <c r="A259" s="43" t="s">
        <v>1787</v>
      </c>
      <c r="B259" s="161">
        <v>5.0000000000000001E-3</v>
      </c>
      <c r="C259" s="161">
        <f>B259+1</f>
        <v>1.0049999999999999</v>
      </c>
      <c r="E259" s="43" t="s">
        <v>1802</v>
      </c>
    </row>
    <row r="260" spans="1:8" x14ac:dyDescent="0.2">
      <c r="A260" s="43" t="s">
        <v>1788</v>
      </c>
      <c r="B260" s="161">
        <v>5.0000000000000001E-3</v>
      </c>
      <c r="C260" s="161">
        <f t="shared" ref="C260:C270" si="1">B260+1</f>
        <v>1.0049999999999999</v>
      </c>
      <c r="E260" s="210"/>
      <c r="H260" s="606">
        <f>PRODUCT(C259:C270)-1</f>
        <v>-1.2792248369833947E-3</v>
      </c>
    </row>
    <row r="261" spans="1:8" x14ac:dyDescent="0.2">
      <c r="A261" s="43" t="s">
        <v>1789</v>
      </c>
      <c r="B261" s="161">
        <v>-2E-3</v>
      </c>
      <c r="C261" s="161">
        <f t="shared" si="1"/>
        <v>0.998</v>
      </c>
      <c r="E261" s="43" t="s">
        <v>2675</v>
      </c>
    </row>
    <row r="262" spans="1:8" x14ac:dyDescent="0.2">
      <c r="A262" s="43" t="s">
        <v>1790</v>
      </c>
      <c r="B262" s="161">
        <v>-4.0000000000000001E-3</v>
      </c>
      <c r="C262" s="161">
        <f t="shared" si="1"/>
        <v>0.996</v>
      </c>
      <c r="E262" s="43" t="s">
        <v>1803</v>
      </c>
    </row>
    <row r="263" spans="1:8" ht="16" thickBot="1" x14ac:dyDescent="0.25">
      <c r="A263" s="43" t="s">
        <v>1791</v>
      </c>
      <c r="B263" s="161">
        <v>-2E-3</v>
      </c>
      <c r="C263" s="161">
        <f t="shared" si="1"/>
        <v>0.998</v>
      </c>
    </row>
    <row r="264" spans="1:8" x14ac:dyDescent="0.2">
      <c r="A264" s="43" t="s">
        <v>1792</v>
      </c>
      <c r="B264" s="161">
        <v>5.0000000000000001E-3</v>
      </c>
      <c r="C264" s="161">
        <f t="shared" si="1"/>
        <v>1.0049999999999999</v>
      </c>
      <c r="E264" s="211" t="s">
        <v>435</v>
      </c>
      <c r="F264" s="212"/>
      <c r="G264" s="212"/>
      <c r="H264" s="213"/>
    </row>
    <row r="265" spans="1:8" x14ac:dyDescent="0.2">
      <c r="A265" s="43" t="s">
        <v>1793</v>
      </c>
      <c r="B265" s="161">
        <v>3.0000000000000001E-3</v>
      </c>
      <c r="C265" s="161">
        <f t="shared" si="1"/>
        <v>1.0029999999999999</v>
      </c>
      <c r="E265" s="214" t="s">
        <v>2676</v>
      </c>
      <c r="H265" s="215"/>
    </row>
    <row r="266" spans="1:8" ht="16" thickBot="1" x14ac:dyDescent="0.25">
      <c r="A266" s="43" t="s">
        <v>1794</v>
      </c>
      <c r="B266" s="161">
        <v>-0.02</v>
      </c>
      <c r="C266" s="161">
        <f t="shared" si="1"/>
        <v>0.98</v>
      </c>
      <c r="E266" s="216" t="s">
        <v>2677</v>
      </c>
      <c r="F266" s="217"/>
      <c r="G266" s="217"/>
      <c r="H266" s="218"/>
    </row>
    <row r="267" spans="1:8" ht="16" thickBot="1" x14ac:dyDescent="0.25">
      <c r="A267" s="43" t="s">
        <v>1795</v>
      </c>
      <c r="B267" s="161">
        <v>3.0000000000000001E-3</v>
      </c>
      <c r="C267" s="161">
        <f t="shared" si="1"/>
        <v>1.0029999999999999</v>
      </c>
      <c r="E267" s="43" t="s">
        <v>1804</v>
      </c>
    </row>
    <row r="268" spans="1:8" x14ac:dyDescent="0.2">
      <c r="A268" s="43" t="s">
        <v>1796</v>
      </c>
      <c r="B268" s="161">
        <v>5.0000000000000001E-3</v>
      </c>
      <c r="C268" s="161">
        <f t="shared" si="1"/>
        <v>1.0049999999999999</v>
      </c>
      <c r="E268" s="277" t="s">
        <v>1805</v>
      </c>
      <c r="F268" s="212"/>
      <c r="G268" s="212"/>
      <c r="H268" s="213"/>
    </row>
    <row r="269" spans="1:8" x14ac:dyDescent="0.2">
      <c r="A269" s="43" t="s">
        <v>1797</v>
      </c>
      <c r="B269" s="161">
        <v>-2E-3</v>
      </c>
      <c r="C269" s="161">
        <f t="shared" si="1"/>
        <v>0.998</v>
      </c>
      <c r="E269" s="276" t="s">
        <v>1806</v>
      </c>
      <c r="H269" s="215"/>
    </row>
    <row r="270" spans="1:8" ht="16" thickBot="1" x14ac:dyDescent="0.25">
      <c r="A270" s="43" t="s">
        <v>1798</v>
      </c>
      <c r="B270" s="161">
        <v>3.0000000000000001E-3</v>
      </c>
      <c r="C270" s="161">
        <f t="shared" si="1"/>
        <v>1.0029999999999999</v>
      </c>
      <c r="E270" s="234" t="s">
        <v>1807</v>
      </c>
      <c r="F270" s="217"/>
      <c r="G270" s="217"/>
      <c r="H270" s="218"/>
    </row>
    <row r="273" spans="1:8" x14ac:dyDescent="0.2">
      <c r="E273" s="721">
        <f>(1+4.8%/12)^12-1</f>
        <v>4.9070207534805954E-2</v>
      </c>
    </row>
    <row r="274" spans="1:8" ht="16" thickBot="1" x14ac:dyDescent="0.25">
      <c r="E274" s="722"/>
    </row>
    <row r="275" spans="1:8" x14ac:dyDescent="0.2">
      <c r="E275" s="277" t="s">
        <v>1808</v>
      </c>
      <c r="F275" s="212"/>
      <c r="G275" s="212"/>
      <c r="H275" s="213"/>
    </row>
    <row r="276" spans="1:8" x14ac:dyDescent="0.2">
      <c r="E276" s="276"/>
      <c r="H276" s="215"/>
    </row>
    <row r="277" spans="1:8" x14ac:dyDescent="0.2">
      <c r="E277" s="276"/>
      <c r="H277" s="215"/>
    </row>
    <row r="278" spans="1:8" ht="16" thickBot="1" x14ac:dyDescent="0.25">
      <c r="E278" s="276"/>
      <c r="H278" s="215"/>
    </row>
    <row r="279" spans="1:8" ht="16" thickBot="1" x14ac:dyDescent="0.25">
      <c r="A279" s="43" t="s">
        <v>1809</v>
      </c>
      <c r="C279" s="607">
        <f>1.04907*(1+E260)-1</f>
        <v>4.9069999999999947E-2</v>
      </c>
      <c r="E279" s="234"/>
      <c r="F279" s="217"/>
      <c r="G279" s="217"/>
      <c r="H279" s="218"/>
    </row>
    <row r="281" spans="1:8" x14ac:dyDescent="0.2">
      <c r="A281" s="71"/>
      <c r="B281" s="71"/>
      <c r="C281" s="71"/>
      <c r="D281" s="71"/>
      <c r="E281" s="71"/>
      <c r="F281" s="71"/>
      <c r="G281" s="71"/>
      <c r="H281" s="71"/>
    </row>
    <row r="282" spans="1:8" x14ac:dyDescent="0.2">
      <c r="A282" s="44" t="s">
        <v>1810</v>
      </c>
    </row>
    <row r="283" spans="1:8" x14ac:dyDescent="0.2">
      <c r="A283" s="219" t="s">
        <v>1811</v>
      </c>
    </row>
    <row r="284" spans="1:8" x14ac:dyDescent="0.2">
      <c r="A284" s="219"/>
    </row>
    <row r="285" spans="1:8" x14ac:dyDescent="0.2">
      <c r="A285" s="220" t="s">
        <v>2678</v>
      </c>
    </row>
    <row r="286" spans="1:8" x14ac:dyDescent="0.2">
      <c r="A286" s="220"/>
    </row>
    <row r="287" spans="1:8" x14ac:dyDescent="0.2">
      <c r="A287" s="221" t="s">
        <v>1812</v>
      </c>
    </row>
    <row r="288" spans="1:8" x14ac:dyDescent="0.2">
      <c r="A288" s="221"/>
    </row>
    <row r="289" spans="1:8" x14ac:dyDescent="0.2">
      <c r="A289" s="222" t="s">
        <v>1813</v>
      </c>
    </row>
    <row r="290" spans="1:8" x14ac:dyDescent="0.2">
      <c r="A290" s="222"/>
    </row>
    <row r="291" spans="1:8" x14ac:dyDescent="0.2">
      <c r="A291" s="223" t="s">
        <v>1814</v>
      </c>
    </row>
    <row r="293" spans="1:8" x14ac:dyDescent="0.2">
      <c r="A293" s="181" t="s">
        <v>1815</v>
      </c>
      <c r="B293" s="181"/>
      <c r="C293" s="181"/>
      <c r="D293" s="181"/>
      <c r="E293" s="181" t="s">
        <v>13</v>
      </c>
      <c r="F293" s="181"/>
      <c r="G293" s="181"/>
      <c r="H293" s="181"/>
    </row>
    <row r="294" spans="1:8" x14ac:dyDescent="0.2">
      <c r="A294" s="43" t="s">
        <v>1816</v>
      </c>
    </row>
    <row r="295" spans="1:8" x14ac:dyDescent="0.2">
      <c r="A295" s="43" t="s">
        <v>1817</v>
      </c>
    </row>
    <row r="296" spans="1:8" x14ac:dyDescent="0.2">
      <c r="A296" s="43" t="s">
        <v>1818</v>
      </c>
    </row>
    <row r="297" spans="1:8" x14ac:dyDescent="0.2">
      <c r="A297" s="43" t="s">
        <v>1819</v>
      </c>
    </row>
    <row r="298" spans="1:8" x14ac:dyDescent="0.2">
      <c r="A298" s="43" t="s">
        <v>1820</v>
      </c>
    </row>
    <row r="300" spans="1:8" x14ac:dyDescent="0.2">
      <c r="A300" s="44" t="s">
        <v>111</v>
      </c>
    </row>
    <row r="302" spans="1:8" ht="16" thickBot="1" x14ac:dyDescent="0.25">
      <c r="A302" s="43" t="s">
        <v>1821</v>
      </c>
    </row>
    <row r="303" spans="1:8" ht="16" thickBot="1" x14ac:dyDescent="0.25">
      <c r="E303" s="224">
        <f>1.02*1.045-1</f>
        <v>6.5899999999999848E-2</v>
      </c>
      <c r="G303" s="43" t="s">
        <v>1822</v>
      </c>
    </row>
    <row r="305" spans="1:8" x14ac:dyDescent="0.2">
      <c r="A305" s="43" t="s">
        <v>1823</v>
      </c>
    </row>
    <row r="306" spans="1:8" ht="16" thickBot="1" x14ac:dyDescent="0.25">
      <c r="A306" s="43" t="s">
        <v>1824</v>
      </c>
    </row>
    <row r="307" spans="1:8" ht="16" thickBot="1" x14ac:dyDescent="0.25">
      <c r="E307" s="225">
        <f>(1+E303)/1.045-1</f>
        <v>2.0000000000000018E-2</v>
      </c>
      <c r="G307" s="43" t="s">
        <v>1825</v>
      </c>
    </row>
    <row r="309" spans="1:8" x14ac:dyDescent="0.2">
      <c r="A309" s="182" t="s">
        <v>1826</v>
      </c>
      <c r="B309" s="182"/>
      <c r="C309" s="182"/>
      <c r="D309" s="182"/>
      <c r="E309" s="183" t="s">
        <v>13</v>
      </c>
      <c r="F309" s="183"/>
      <c r="G309" s="183"/>
      <c r="H309" s="183"/>
    </row>
    <row r="310" spans="1:8" x14ac:dyDescent="0.2">
      <c r="A310" s="43" t="s">
        <v>1827</v>
      </c>
    </row>
    <row r="311" spans="1:8" x14ac:dyDescent="0.2">
      <c r="A311" s="43" t="s">
        <v>1828</v>
      </c>
    </row>
    <row r="312" spans="1:8" x14ac:dyDescent="0.2">
      <c r="A312" s="43" t="s">
        <v>1829</v>
      </c>
    </row>
    <row r="314" spans="1:8" x14ac:dyDescent="0.2">
      <c r="A314" s="44" t="s">
        <v>111</v>
      </c>
    </row>
    <row r="316" spans="1:8" x14ac:dyDescent="0.2">
      <c r="A316" s="43" t="s">
        <v>1830</v>
      </c>
      <c r="D316" s="43">
        <f>500000*1.028</f>
        <v>514000</v>
      </c>
    </row>
    <row r="317" spans="1:8" x14ac:dyDescent="0.2">
      <c r="A317" s="43" t="s">
        <v>1831</v>
      </c>
      <c r="D317" s="156">
        <f>1.028/1.037-1</f>
        <v>-8.6788813886209404E-3</v>
      </c>
    </row>
    <row r="319" spans="1:8" x14ac:dyDescent="0.2">
      <c r="A319" s="43" t="s">
        <v>1832</v>
      </c>
    </row>
    <row r="320" spans="1:8" x14ac:dyDescent="0.2">
      <c r="A320" s="43" t="s">
        <v>1833</v>
      </c>
    </row>
  </sheetData>
  <mergeCells count="7">
    <mergeCell ref="A1:H1"/>
    <mergeCell ref="E273:E274"/>
    <mergeCell ref="G183:I183"/>
    <mergeCell ref="H222:H225"/>
    <mergeCell ref="H226:H228"/>
    <mergeCell ref="H229:H230"/>
    <mergeCell ref="H231:H2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R470"/>
  <sheetViews>
    <sheetView rightToLeft="1" topLeftCell="A347" zoomScale="180" zoomScaleNormal="180" workbookViewId="0">
      <selection activeCell="G452" sqref="G452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2" width="10.83203125" style="43"/>
    <col min="13" max="13" width="10.33203125" style="43" customWidth="1"/>
    <col min="14" max="16384" width="10.83203125" style="43"/>
  </cols>
  <sheetData>
    <row r="1" spans="1:9" s="92" customFormat="1" ht="16" x14ac:dyDescent="0.2">
      <c r="A1" s="710" t="s">
        <v>3255</v>
      </c>
      <c r="B1" s="710"/>
      <c r="C1" s="710"/>
      <c r="D1" s="710"/>
      <c r="E1" s="710"/>
      <c r="F1" s="710"/>
      <c r="G1" s="710"/>
      <c r="H1" s="710"/>
    </row>
    <row r="3" spans="1:9" x14ac:dyDescent="0.2">
      <c r="A3" s="44" t="s">
        <v>1834</v>
      </c>
    </row>
    <row r="4" spans="1:9" x14ac:dyDescent="0.2">
      <c r="A4" s="43" t="s">
        <v>1835</v>
      </c>
    </row>
    <row r="5" spans="1:9" x14ac:dyDescent="0.2">
      <c r="A5" s="43" t="s">
        <v>3219</v>
      </c>
    </row>
    <row r="6" spans="1:9" x14ac:dyDescent="0.2">
      <c r="A6" s="44" t="s">
        <v>1836</v>
      </c>
    </row>
    <row r="8" spans="1:9" x14ac:dyDescent="0.2">
      <c r="A8" s="278" t="s">
        <v>3220</v>
      </c>
      <c r="B8" s="278"/>
      <c r="C8" s="278"/>
      <c r="D8" s="278"/>
      <c r="E8" s="278"/>
      <c r="F8" s="278"/>
      <c r="G8" s="278"/>
      <c r="H8" s="278"/>
      <c r="I8" s="278"/>
    </row>
    <row r="9" spans="1:9" x14ac:dyDescent="0.2">
      <c r="A9" s="278" t="s">
        <v>3221</v>
      </c>
      <c r="B9" s="278"/>
      <c r="C9" s="278"/>
      <c r="D9" s="278"/>
      <c r="E9" s="278"/>
      <c r="F9" s="278"/>
      <c r="G9" s="278"/>
      <c r="H9" s="278"/>
      <c r="I9" s="278"/>
    </row>
    <row r="11" spans="1:9" x14ac:dyDescent="0.2">
      <c r="A11" s="43" t="s">
        <v>1837</v>
      </c>
      <c r="B11" s="43" t="s">
        <v>3222</v>
      </c>
    </row>
    <row r="12" spans="1:9" x14ac:dyDescent="0.2">
      <c r="A12" s="227" t="s">
        <v>1885</v>
      </c>
      <c r="B12" s="43" t="s">
        <v>1838</v>
      </c>
    </row>
    <row r="13" spans="1:9" x14ac:dyDescent="0.2">
      <c r="B13" s="43" t="s">
        <v>3223</v>
      </c>
    </row>
    <row r="14" spans="1:9" x14ac:dyDescent="0.2">
      <c r="B14" s="43" t="s">
        <v>1839</v>
      </c>
    </row>
    <row r="15" spans="1:9" x14ac:dyDescent="0.2">
      <c r="B15" s="43" t="s">
        <v>1840</v>
      </c>
    </row>
    <row r="17" spans="1:8" x14ac:dyDescent="0.2">
      <c r="A17" s="43" t="s">
        <v>1841</v>
      </c>
      <c r="B17" s="43" t="s">
        <v>3224</v>
      </c>
    </row>
    <row r="18" spans="1:8" x14ac:dyDescent="0.2">
      <c r="A18" s="227" t="s">
        <v>1886</v>
      </c>
      <c r="B18" s="43" t="s">
        <v>1842</v>
      </c>
    </row>
    <row r="19" spans="1:8" x14ac:dyDescent="0.2">
      <c r="B19" s="43" t="s">
        <v>1843</v>
      </c>
    </row>
    <row r="21" spans="1:8" x14ac:dyDescent="0.2">
      <c r="B21" s="43" t="s">
        <v>1887</v>
      </c>
    </row>
    <row r="22" spans="1:8" x14ac:dyDescent="0.2">
      <c r="B22" s="43" t="s">
        <v>1844</v>
      </c>
    </row>
    <row r="24" spans="1:8" x14ac:dyDescent="0.2">
      <c r="A24" s="45" t="s">
        <v>1845</v>
      </c>
      <c r="B24" s="46"/>
      <c r="C24" s="46"/>
      <c r="D24" s="46"/>
      <c r="E24" s="46"/>
      <c r="F24" s="46"/>
      <c r="G24" s="46"/>
      <c r="H24" s="46"/>
    </row>
    <row r="25" spans="1:8" x14ac:dyDescent="0.2">
      <c r="A25" s="43" t="s">
        <v>1888</v>
      </c>
    </row>
    <row r="26" spans="1:8" x14ac:dyDescent="0.2">
      <c r="A26" s="43" t="s">
        <v>1846</v>
      </c>
    </row>
    <row r="27" spans="1:8" x14ac:dyDescent="0.2">
      <c r="A27" s="43" t="s">
        <v>1847</v>
      </c>
    </row>
    <row r="29" spans="1:8" x14ac:dyDescent="0.2">
      <c r="A29" s="44" t="s">
        <v>111</v>
      </c>
    </row>
    <row r="30" spans="1:8" x14ac:dyDescent="0.2">
      <c r="A30" s="43" t="s">
        <v>1889</v>
      </c>
    </row>
    <row r="31" spans="1:8" x14ac:dyDescent="0.2">
      <c r="A31" s="43" t="s">
        <v>1890</v>
      </c>
    </row>
    <row r="32" spans="1:8" x14ac:dyDescent="0.2">
      <c r="A32" s="43" t="s">
        <v>1891</v>
      </c>
    </row>
    <row r="33" spans="1:8" x14ac:dyDescent="0.2">
      <c r="A33" s="43" t="s">
        <v>1892</v>
      </c>
    </row>
    <row r="34" spans="1:8" ht="16" thickBot="1" x14ac:dyDescent="0.25"/>
    <row r="35" spans="1:8" x14ac:dyDescent="0.2">
      <c r="B35" s="80" t="s">
        <v>1893</v>
      </c>
      <c r="C35" s="80" t="s">
        <v>1894</v>
      </c>
      <c r="E35" s="277" t="s">
        <v>2137</v>
      </c>
      <c r="F35" s="212"/>
      <c r="G35" s="212"/>
      <c r="H35" s="213"/>
    </row>
    <row r="36" spans="1:8" x14ac:dyDescent="0.2">
      <c r="B36" s="80">
        <v>0</v>
      </c>
      <c r="C36" s="80">
        <v>-100</v>
      </c>
      <c r="E36" s="276" t="s">
        <v>2138</v>
      </c>
      <c r="H36" s="215"/>
    </row>
    <row r="37" spans="1:8" x14ac:dyDescent="0.2">
      <c r="B37" s="80">
        <v>1</v>
      </c>
      <c r="C37" s="80">
        <v>80</v>
      </c>
      <c r="E37" s="276" t="s">
        <v>2139</v>
      </c>
      <c r="H37" s="215"/>
    </row>
    <row r="38" spans="1:8" ht="16" thickBot="1" x14ac:dyDescent="0.25">
      <c r="B38" s="80">
        <v>2</v>
      </c>
      <c r="C38" s="80">
        <v>90</v>
      </c>
      <c r="E38" s="234" t="s">
        <v>2140</v>
      </c>
      <c r="F38" s="217"/>
      <c r="G38" s="217"/>
      <c r="H38" s="218"/>
    </row>
    <row r="39" spans="1:8" x14ac:dyDescent="0.2">
      <c r="B39" s="80">
        <v>3</v>
      </c>
      <c r="C39" s="80">
        <v>70</v>
      </c>
    </row>
    <row r="41" spans="1:8" ht="16" thickBot="1" x14ac:dyDescent="0.25">
      <c r="B41" s="43" t="s">
        <v>1895</v>
      </c>
      <c r="C41" s="54">
        <v>0.1</v>
      </c>
      <c r="D41" s="43" t="s">
        <v>1896</v>
      </c>
      <c r="F41" s="43" t="s">
        <v>1897</v>
      </c>
    </row>
    <row r="42" spans="1:8" ht="16" thickBot="1" x14ac:dyDescent="0.25">
      <c r="C42" s="229">
        <f>NPV(C41,C37:C39)+C36</f>
        <v>99.699474079639344</v>
      </c>
      <c r="D42" s="43" t="s">
        <v>1898</v>
      </c>
      <c r="G42" s="43" t="str">
        <f ca="1">_xlfn.FORMULATEXT(C42)</f>
        <v>=NPV(C41,C37:C39)+C36</v>
      </c>
    </row>
    <row r="43" spans="1:8" ht="16" thickBot="1" x14ac:dyDescent="0.25">
      <c r="C43" s="228"/>
    </row>
    <row r="44" spans="1:8" x14ac:dyDescent="0.2">
      <c r="A44" s="211" t="s">
        <v>1899</v>
      </c>
      <c r="B44" s="212"/>
      <c r="C44" s="233"/>
      <c r="D44" s="212"/>
      <c r="E44" s="213"/>
      <c r="F44" s="43" t="s">
        <v>65</v>
      </c>
    </row>
    <row r="45" spans="1:8" ht="16" thickBot="1" x14ac:dyDescent="0.25">
      <c r="A45" s="234" t="s">
        <v>1900</v>
      </c>
      <c r="B45" s="217"/>
      <c r="C45" s="235"/>
      <c r="D45" s="217"/>
      <c r="E45" s="218"/>
      <c r="F45" s="47" t="s">
        <v>1869</v>
      </c>
      <c r="G45" s="43" t="s">
        <v>265</v>
      </c>
    </row>
    <row r="46" spans="1:8" x14ac:dyDescent="0.2">
      <c r="C46" s="228"/>
      <c r="F46" s="47" t="s">
        <v>3225</v>
      </c>
      <c r="G46" s="43" t="s">
        <v>3226</v>
      </c>
    </row>
    <row r="47" spans="1:8" x14ac:dyDescent="0.2">
      <c r="F47" s="47" t="s">
        <v>3227</v>
      </c>
      <c r="G47" s="43" t="s">
        <v>3228</v>
      </c>
    </row>
    <row r="48" spans="1:8" x14ac:dyDescent="0.2">
      <c r="F48" s="47" t="s">
        <v>3229</v>
      </c>
      <c r="G48" s="43" t="s">
        <v>3230</v>
      </c>
    </row>
    <row r="49" spans="1:6" x14ac:dyDescent="0.2">
      <c r="A49" s="43" t="s">
        <v>2141</v>
      </c>
    </row>
    <row r="50" spans="1:6" x14ac:dyDescent="0.2">
      <c r="A50" s="43" t="s">
        <v>1901</v>
      </c>
    </row>
    <row r="51" spans="1:6" x14ac:dyDescent="0.2">
      <c r="A51" s="43" t="s">
        <v>1902</v>
      </c>
    </row>
    <row r="53" spans="1:6" x14ac:dyDescent="0.2">
      <c r="B53" s="80" t="s">
        <v>1893</v>
      </c>
      <c r="C53" s="80" t="s">
        <v>1894</v>
      </c>
      <c r="D53" s="80" t="s">
        <v>153</v>
      </c>
      <c r="E53" s="80" t="s">
        <v>973</v>
      </c>
      <c r="F53" s="231" t="s">
        <v>974</v>
      </c>
    </row>
    <row r="54" spans="1:6" x14ac:dyDescent="0.2">
      <c r="B54" s="80">
        <v>0</v>
      </c>
      <c r="C54" s="232">
        <f>C36+-C42</f>
        <v>-199.69947407963934</v>
      </c>
      <c r="D54" s="80"/>
      <c r="E54" s="80"/>
      <c r="F54" s="231"/>
    </row>
    <row r="55" spans="1:6" x14ac:dyDescent="0.2">
      <c r="B55" s="80">
        <v>1</v>
      </c>
      <c r="C55" s="80"/>
      <c r="D55" s="230">
        <f>-C54*1.1</f>
        <v>219.6694214876033</v>
      </c>
      <c r="E55" s="80">
        <f>-C37</f>
        <v>-80</v>
      </c>
      <c r="F55" s="230">
        <f>D55+E55</f>
        <v>139.6694214876033</v>
      </c>
    </row>
    <row r="56" spans="1:6" x14ac:dyDescent="0.2">
      <c r="B56" s="80">
        <v>2</v>
      </c>
      <c r="C56" s="80"/>
      <c r="D56" s="80">
        <f>F55*1.1</f>
        <v>153.63636363636365</v>
      </c>
      <c r="E56" s="80">
        <f>-C38</f>
        <v>-90</v>
      </c>
      <c r="F56" s="230">
        <f>D56+E56</f>
        <v>63.636363636363654</v>
      </c>
    </row>
    <row r="57" spans="1:6" x14ac:dyDescent="0.2">
      <c r="B57" s="80">
        <v>3</v>
      </c>
      <c r="C57" s="80"/>
      <c r="D57" s="80">
        <f>F56*1.1</f>
        <v>70.000000000000028</v>
      </c>
      <c r="E57" s="80">
        <f>-C39</f>
        <v>-70</v>
      </c>
      <c r="F57" s="80">
        <v>0</v>
      </c>
    </row>
    <row r="65" spans="1:14" x14ac:dyDescent="0.2">
      <c r="K65" s="671"/>
    </row>
    <row r="67" spans="1:14" x14ac:dyDescent="0.2">
      <c r="A67" s="45" t="s">
        <v>1848</v>
      </c>
      <c r="B67" s="46"/>
      <c r="C67" s="46"/>
      <c r="D67" s="46"/>
      <c r="E67" s="46"/>
      <c r="F67" s="46"/>
      <c r="G67" s="46"/>
      <c r="H67" s="46"/>
      <c r="J67" s="43" t="s">
        <v>564</v>
      </c>
      <c r="K67" s="43" t="s">
        <v>828</v>
      </c>
    </row>
    <row r="68" spans="1:14" x14ac:dyDescent="0.2">
      <c r="A68" s="43" t="s">
        <v>1849</v>
      </c>
      <c r="J68" s="43">
        <v>0</v>
      </c>
      <c r="K68" s="43">
        <v>-400</v>
      </c>
      <c r="M68" s="77">
        <v>0.1</v>
      </c>
      <c r="N68" s="43" t="s">
        <v>1896</v>
      </c>
    </row>
    <row r="69" spans="1:14" x14ac:dyDescent="0.2">
      <c r="A69" s="43" t="s">
        <v>1850</v>
      </c>
      <c r="J69" s="43">
        <v>1</v>
      </c>
      <c r="K69" s="43">
        <v>20</v>
      </c>
    </row>
    <row r="70" spans="1:14" x14ac:dyDescent="0.2">
      <c r="J70" s="43">
        <f>J69+1</f>
        <v>2</v>
      </c>
      <c r="K70" s="43">
        <f>K69</f>
        <v>20</v>
      </c>
      <c r="M70" s="670">
        <f>NPV(M68,K69:K98)+K68</f>
        <v>-211.46171066023368</v>
      </c>
      <c r="N70" s="43" t="s">
        <v>1898</v>
      </c>
    </row>
    <row r="71" spans="1:14" x14ac:dyDescent="0.2">
      <c r="A71" s="43" t="s">
        <v>111</v>
      </c>
      <c r="J71" s="43">
        <f t="shared" ref="J71:J98" si="0">J70+1</f>
        <v>3</v>
      </c>
      <c r="K71" s="43">
        <f t="shared" ref="K71:K98" si="1">K70</f>
        <v>20</v>
      </c>
    </row>
    <row r="72" spans="1:14" x14ac:dyDescent="0.2">
      <c r="J72" s="43">
        <f t="shared" si="0"/>
        <v>4</v>
      </c>
      <c r="K72" s="43">
        <f t="shared" si="1"/>
        <v>20</v>
      </c>
    </row>
    <row r="73" spans="1:14" x14ac:dyDescent="0.2">
      <c r="A73" s="43" t="s">
        <v>1903</v>
      </c>
      <c r="J73" s="43">
        <f t="shared" si="0"/>
        <v>5</v>
      </c>
      <c r="K73" s="43">
        <f t="shared" si="1"/>
        <v>20</v>
      </c>
    </row>
    <row r="74" spans="1:14" x14ac:dyDescent="0.2">
      <c r="A74" s="43" t="s">
        <v>1904</v>
      </c>
      <c r="J74" s="43">
        <f t="shared" si="0"/>
        <v>6</v>
      </c>
      <c r="K74" s="43">
        <f t="shared" si="1"/>
        <v>20</v>
      </c>
    </row>
    <row r="75" spans="1:14" x14ac:dyDescent="0.2">
      <c r="J75" s="43">
        <f t="shared" si="0"/>
        <v>7</v>
      </c>
      <c r="K75" s="43">
        <f t="shared" si="1"/>
        <v>20</v>
      </c>
    </row>
    <row r="76" spans="1:14" x14ac:dyDescent="0.2">
      <c r="A76" s="44" t="s">
        <v>1905</v>
      </c>
      <c r="J76" s="43">
        <f t="shared" si="0"/>
        <v>8</v>
      </c>
      <c r="K76" s="43">
        <f t="shared" si="1"/>
        <v>20</v>
      </c>
    </row>
    <row r="77" spans="1:14" x14ac:dyDescent="0.2">
      <c r="J77" s="43">
        <f t="shared" si="0"/>
        <v>9</v>
      </c>
      <c r="K77" s="43">
        <f t="shared" si="1"/>
        <v>20</v>
      </c>
    </row>
    <row r="78" spans="1:14" x14ac:dyDescent="0.2">
      <c r="B78" s="43" t="s">
        <v>1906</v>
      </c>
      <c r="E78" s="77">
        <v>0.1</v>
      </c>
      <c r="F78" s="43" t="s">
        <v>87</v>
      </c>
      <c r="J78" s="43">
        <f t="shared" si="0"/>
        <v>10</v>
      </c>
      <c r="K78" s="43">
        <f t="shared" si="1"/>
        <v>20</v>
      </c>
    </row>
    <row r="79" spans="1:14" x14ac:dyDescent="0.2">
      <c r="B79" s="43" t="s">
        <v>1907</v>
      </c>
      <c r="E79" s="43">
        <v>30</v>
      </c>
      <c r="F79" s="43" t="s">
        <v>89</v>
      </c>
      <c r="J79" s="43">
        <f t="shared" si="0"/>
        <v>11</v>
      </c>
      <c r="K79" s="43">
        <f t="shared" si="1"/>
        <v>20</v>
      </c>
    </row>
    <row r="80" spans="1:14" x14ac:dyDescent="0.2">
      <c r="B80" s="43" t="s">
        <v>1908</v>
      </c>
      <c r="E80" s="668">
        <f>PV(E78,E79,E81,E82)</f>
        <v>-188.53828933976641</v>
      </c>
      <c r="F80" s="43" t="s">
        <v>281</v>
      </c>
      <c r="J80" s="43">
        <f t="shared" si="0"/>
        <v>12</v>
      </c>
      <c r="K80" s="43">
        <f t="shared" si="1"/>
        <v>20</v>
      </c>
    </row>
    <row r="81" spans="1:11" x14ac:dyDescent="0.2">
      <c r="B81" s="43" t="s">
        <v>1909</v>
      </c>
      <c r="E81" s="74">
        <v>20</v>
      </c>
      <c r="F81" s="43" t="s">
        <v>91</v>
      </c>
      <c r="J81" s="43">
        <f t="shared" si="0"/>
        <v>13</v>
      </c>
      <c r="K81" s="43">
        <f t="shared" si="1"/>
        <v>20</v>
      </c>
    </row>
    <row r="82" spans="1:11" x14ac:dyDescent="0.2">
      <c r="B82" s="43" t="s">
        <v>1910</v>
      </c>
      <c r="E82" s="43">
        <v>0</v>
      </c>
      <c r="F82" s="43" t="s">
        <v>105</v>
      </c>
      <c r="J82" s="43">
        <f t="shared" si="0"/>
        <v>14</v>
      </c>
      <c r="K82" s="43">
        <f t="shared" si="1"/>
        <v>20</v>
      </c>
    </row>
    <row r="83" spans="1:11" x14ac:dyDescent="0.2">
      <c r="J83" s="43">
        <f t="shared" si="0"/>
        <v>15</v>
      </c>
      <c r="K83" s="43">
        <f t="shared" si="1"/>
        <v>20</v>
      </c>
    </row>
    <row r="84" spans="1:11" x14ac:dyDescent="0.2">
      <c r="A84" s="43" t="s">
        <v>1911</v>
      </c>
      <c r="J84" s="43">
        <f t="shared" si="0"/>
        <v>16</v>
      </c>
      <c r="K84" s="43">
        <f t="shared" si="1"/>
        <v>20</v>
      </c>
    </row>
    <row r="85" spans="1:11" x14ac:dyDescent="0.2">
      <c r="A85" s="43" t="s">
        <v>1912</v>
      </c>
      <c r="J85" s="43">
        <f t="shared" si="0"/>
        <v>17</v>
      </c>
      <c r="K85" s="43">
        <f t="shared" si="1"/>
        <v>20</v>
      </c>
    </row>
    <row r="86" spans="1:11" x14ac:dyDescent="0.2">
      <c r="A86" s="43" t="s">
        <v>1913</v>
      </c>
      <c r="F86" s="669">
        <f>-E80</f>
        <v>188.53828933976641</v>
      </c>
      <c r="J86" s="43">
        <f t="shared" si="0"/>
        <v>18</v>
      </c>
      <c r="K86" s="43">
        <f t="shared" si="1"/>
        <v>20</v>
      </c>
    </row>
    <row r="87" spans="1:11" x14ac:dyDescent="0.2">
      <c r="C87" s="43" t="s">
        <v>1914</v>
      </c>
      <c r="F87" s="74">
        <v>-400</v>
      </c>
      <c r="G87" s="43" t="s">
        <v>1895</v>
      </c>
      <c r="J87" s="43">
        <f t="shared" si="0"/>
        <v>19</v>
      </c>
      <c r="K87" s="43">
        <f t="shared" si="1"/>
        <v>20</v>
      </c>
    </row>
    <row r="88" spans="1:11" x14ac:dyDescent="0.2">
      <c r="C88" s="43" t="s">
        <v>1915</v>
      </c>
      <c r="E88" s="149" t="s">
        <v>1916</v>
      </c>
      <c r="F88" s="670">
        <f>F86+F87</f>
        <v>-211.46171066023359</v>
      </c>
      <c r="G88" s="43" t="s">
        <v>1917</v>
      </c>
      <c r="J88" s="43">
        <f t="shared" si="0"/>
        <v>20</v>
      </c>
      <c r="K88" s="43">
        <f t="shared" si="1"/>
        <v>20</v>
      </c>
    </row>
    <row r="89" spans="1:11" ht="16" thickBot="1" x14ac:dyDescent="0.25">
      <c r="J89" s="43">
        <f t="shared" si="0"/>
        <v>21</v>
      </c>
      <c r="K89" s="43">
        <f t="shared" si="1"/>
        <v>20</v>
      </c>
    </row>
    <row r="90" spans="1:11" x14ac:dyDescent="0.2">
      <c r="A90" s="236" t="s">
        <v>1918</v>
      </c>
      <c r="B90" s="237"/>
      <c r="C90" s="237"/>
      <c r="D90" s="237"/>
      <c r="E90" s="237"/>
      <c r="F90" s="237"/>
      <c r="G90" s="237"/>
      <c r="H90" s="238"/>
      <c r="J90" s="43">
        <f t="shared" si="0"/>
        <v>22</v>
      </c>
      <c r="K90" s="43">
        <f t="shared" si="1"/>
        <v>20</v>
      </c>
    </row>
    <row r="91" spans="1:11" x14ac:dyDescent="0.2">
      <c r="A91" s="239" t="s">
        <v>1919</v>
      </c>
      <c r="B91" s="79"/>
      <c r="C91" s="79"/>
      <c r="D91" s="79"/>
      <c r="E91" s="79"/>
      <c r="F91" s="79"/>
      <c r="G91" s="79"/>
      <c r="H91" s="240"/>
      <c r="J91" s="43">
        <f t="shared" si="0"/>
        <v>23</v>
      </c>
      <c r="K91" s="43">
        <f t="shared" si="1"/>
        <v>20</v>
      </c>
    </row>
    <row r="92" spans="1:11" x14ac:dyDescent="0.2">
      <c r="A92" s="239" t="s">
        <v>1920</v>
      </c>
      <c r="B92" s="79"/>
      <c r="C92" s="79"/>
      <c r="D92" s="79"/>
      <c r="E92" s="79"/>
      <c r="F92" s="79"/>
      <c r="G92" s="79"/>
      <c r="H92" s="240"/>
      <c r="J92" s="43">
        <f t="shared" si="0"/>
        <v>24</v>
      </c>
      <c r="K92" s="43">
        <f t="shared" si="1"/>
        <v>20</v>
      </c>
    </row>
    <row r="93" spans="1:11" ht="16" thickBot="1" x14ac:dyDescent="0.25">
      <c r="A93" s="241" t="s">
        <v>1921</v>
      </c>
      <c r="B93" s="242"/>
      <c r="C93" s="242"/>
      <c r="D93" s="242"/>
      <c r="E93" s="242"/>
      <c r="F93" s="242"/>
      <c r="G93" s="242"/>
      <c r="H93" s="243"/>
      <c r="J93" s="43">
        <f t="shared" si="0"/>
        <v>25</v>
      </c>
      <c r="K93" s="43">
        <f t="shared" si="1"/>
        <v>20</v>
      </c>
    </row>
    <row r="94" spans="1:11" x14ac:dyDescent="0.2">
      <c r="J94" s="43">
        <f t="shared" si="0"/>
        <v>26</v>
      </c>
      <c r="K94" s="43">
        <f t="shared" si="1"/>
        <v>20</v>
      </c>
    </row>
    <row r="95" spans="1:11" x14ac:dyDescent="0.2">
      <c r="J95" s="43">
        <f t="shared" si="0"/>
        <v>27</v>
      </c>
      <c r="K95" s="43">
        <f t="shared" si="1"/>
        <v>20</v>
      </c>
    </row>
    <row r="96" spans="1:11" x14ac:dyDescent="0.2">
      <c r="J96" s="43">
        <f t="shared" si="0"/>
        <v>28</v>
      </c>
      <c r="K96" s="43">
        <f t="shared" si="1"/>
        <v>20</v>
      </c>
    </row>
    <row r="97" spans="1:11" x14ac:dyDescent="0.2">
      <c r="A97" s="45" t="s">
        <v>2142</v>
      </c>
      <c r="B97" s="46"/>
      <c r="C97" s="46"/>
      <c r="D97" s="46"/>
      <c r="E97" s="46"/>
      <c r="F97" s="46"/>
      <c r="G97" s="46"/>
      <c r="H97" s="46"/>
      <c r="J97" s="43">
        <f>J96+1</f>
        <v>29</v>
      </c>
      <c r="K97" s="43">
        <f t="shared" si="1"/>
        <v>20</v>
      </c>
    </row>
    <row r="98" spans="1:11" x14ac:dyDescent="0.2">
      <c r="A98" s="43" t="s">
        <v>1851</v>
      </c>
      <c r="J98" s="43">
        <f t="shared" si="0"/>
        <v>30</v>
      </c>
      <c r="K98" s="43">
        <f t="shared" si="1"/>
        <v>20</v>
      </c>
    </row>
    <row r="100" spans="1:11" x14ac:dyDescent="0.2">
      <c r="B100" s="80">
        <v>0</v>
      </c>
      <c r="C100" s="80">
        <v>1</v>
      </c>
      <c r="D100" s="80">
        <v>2</v>
      </c>
      <c r="E100" s="80">
        <v>3</v>
      </c>
      <c r="F100" s="80">
        <v>4</v>
      </c>
      <c r="G100" s="80">
        <v>5</v>
      </c>
      <c r="H100" s="80">
        <v>6</v>
      </c>
    </row>
    <row r="101" spans="1:11" x14ac:dyDescent="0.2">
      <c r="B101" s="80">
        <v>-500</v>
      </c>
      <c r="C101" s="80">
        <v>90</v>
      </c>
      <c r="D101" s="80">
        <v>70</v>
      </c>
      <c r="E101" s="80">
        <v>60</v>
      </c>
      <c r="F101" s="80">
        <v>50</v>
      </c>
      <c r="G101" s="80">
        <v>300</v>
      </c>
      <c r="H101" s="80">
        <v>100</v>
      </c>
    </row>
    <row r="103" spans="1:11" x14ac:dyDescent="0.2">
      <c r="A103" s="43" t="s">
        <v>321</v>
      </c>
    </row>
    <row r="104" spans="1:11" x14ac:dyDescent="0.2">
      <c r="A104" s="43" t="s">
        <v>3231</v>
      </c>
    </row>
    <row r="105" spans="1:11" x14ac:dyDescent="0.2">
      <c r="A105" s="43" t="s">
        <v>1852</v>
      </c>
    </row>
    <row r="107" spans="1:11" x14ac:dyDescent="0.2">
      <c r="A107" s="43" t="s">
        <v>290</v>
      </c>
    </row>
    <row r="108" spans="1:11" x14ac:dyDescent="0.2">
      <c r="B108" s="80" t="s">
        <v>564</v>
      </c>
      <c r="C108" s="80" t="s">
        <v>828</v>
      </c>
      <c r="E108" s="43" t="s">
        <v>1922</v>
      </c>
    </row>
    <row r="109" spans="1:11" x14ac:dyDescent="0.2">
      <c r="B109" s="80">
        <v>0</v>
      </c>
      <c r="C109" s="80">
        <v>-500</v>
      </c>
      <c r="E109" s="43" t="s">
        <v>1923</v>
      </c>
    </row>
    <row r="110" spans="1:11" x14ac:dyDescent="0.2">
      <c r="B110" s="80">
        <v>1</v>
      </c>
      <c r="C110" s="80">
        <v>90</v>
      </c>
    </row>
    <row r="111" spans="1:11" x14ac:dyDescent="0.2">
      <c r="B111" s="80">
        <v>2</v>
      </c>
      <c r="C111" s="80">
        <v>70</v>
      </c>
    </row>
    <row r="112" spans="1:11" x14ac:dyDescent="0.2">
      <c r="B112" s="80">
        <v>3</v>
      </c>
      <c r="C112" s="80">
        <v>60</v>
      </c>
    </row>
    <row r="113" spans="1:8" x14ac:dyDescent="0.2">
      <c r="B113" s="80">
        <v>4</v>
      </c>
      <c r="C113" s="80">
        <v>50</v>
      </c>
    </row>
    <row r="114" spans="1:8" x14ac:dyDescent="0.2">
      <c r="B114" s="80">
        <v>5</v>
      </c>
      <c r="C114" s="80">
        <v>300</v>
      </c>
    </row>
    <row r="115" spans="1:8" x14ac:dyDescent="0.2">
      <c r="B115" s="80">
        <v>6</v>
      </c>
      <c r="C115" s="80">
        <v>100</v>
      </c>
    </row>
    <row r="116" spans="1:8" ht="16" thickBot="1" x14ac:dyDescent="0.25"/>
    <row r="117" spans="1:8" ht="16" thickBot="1" x14ac:dyDescent="0.25">
      <c r="C117" s="244">
        <f>IRR(C109:C115)</f>
        <v>7.7122415051250615E-2</v>
      </c>
      <c r="D117" s="43" t="s">
        <v>1924</v>
      </c>
      <c r="F117" s="43" t="str">
        <f ca="1">_xlfn.FORMULATEXT(C117)</f>
        <v>=IRR(C109:C115)</v>
      </c>
      <c r="G117" s="43" t="s">
        <v>3233</v>
      </c>
    </row>
    <row r="119" spans="1:8" x14ac:dyDescent="0.2">
      <c r="B119" s="43" t="s">
        <v>3232</v>
      </c>
    </row>
    <row r="120" spans="1:8" x14ac:dyDescent="0.2">
      <c r="B120" s="43" t="s">
        <v>1925</v>
      </c>
    </row>
    <row r="121" spans="1:8" x14ac:dyDescent="0.2">
      <c r="B121" s="43" t="s">
        <v>1926</v>
      </c>
    </row>
    <row r="123" spans="1:8" x14ac:dyDescent="0.2">
      <c r="A123" s="43" t="s">
        <v>291</v>
      </c>
    </row>
    <row r="124" spans="1:8" x14ac:dyDescent="0.2">
      <c r="B124" s="43" t="s">
        <v>1927</v>
      </c>
    </row>
    <row r="125" spans="1:8" x14ac:dyDescent="0.2">
      <c r="B125" s="43" t="s">
        <v>1928</v>
      </c>
    </row>
    <row r="126" spans="1:8" ht="16" thickBot="1" x14ac:dyDescent="0.25"/>
    <row r="127" spans="1:8" ht="16" thickBot="1" x14ac:dyDescent="0.25">
      <c r="A127" s="43" t="s">
        <v>1153</v>
      </c>
      <c r="C127" s="485" t="s">
        <v>1929</v>
      </c>
      <c r="D127" s="486" t="s">
        <v>1930</v>
      </c>
      <c r="E127" s="487" t="s">
        <v>1931</v>
      </c>
      <c r="F127" s="488" t="s">
        <v>1932</v>
      </c>
      <c r="H127" s="43" t="s">
        <v>3234</v>
      </c>
    </row>
    <row r="128" spans="1:8" x14ac:dyDescent="0.2">
      <c r="C128" s="489" t="s">
        <v>1869</v>
      </c>
      <c r="D128" s="483" t="s">
        <v>1933</v>
      </c>
      <c r="E128" s="484" t="s">
        <v>1934</v>
      </c>
      <c r="F128" s="484" t="s">
        <v>1935</v>
      </c>
      <c r="H128" s="43" t="s">
        <v>3235</v>
      </c>
    </row>
    <row r="129" spans="1:8" ht="16" thickBot="1" x14ac:dyDescent="0.25">
      <c r="C129" s="490" t="s">
        <v>1863</v>
      </c>
      <c r="D129" s="482" t="s">
        <v>1936</v>
      </c>
      <c r="E129" s="80" t="s">
        <v>1937</v>
      </c>
      <c r="F129" s="80" t="s">
        <v>1938</v>
      </c>
    </row>
    <row r="131" spans="1:8" x14ac:dyDescent="0.2">
      <c r="A131" s="45" t="s">
        <v>3236</v>
      </c>
      <c r="B131" s="46"/>
      <c r="C131" s="46"/>
      <c r="D131" s="46"/>
      <c r="E131" s="46"/>
      <c r="F131" s="46"/>
      <c r="G131" s="46"/>
      <c r="H131" s="46"/>
    </row>
    <row r="132" spans="1:8" x14ac:dyDescent="0.2">
      <c r="A132" s="43" t="s">
        <v>1853</v>
      </c>
    </row>
    <row r="133" spans="1:8" x14ac:dyDescent="0.2">
      <c r="A133" s="43" t="s">
        <v>1854</v>
      </c>
    </row>
    <row r="135" spans="1:8" x14ac:dyDescent="0.2">
      <c r="B135" s="80" t="s">
        <v>1126</v>
      </c>
      <c r="C135" s="80" t="s">
        <v>1855</v>
      </c>
      <c r="D135" s="80" t="s">
        <v>1856</v>
      </c>
      <c r="E135" s="80" t="s">
        <v>1857</v>
      </c>
    </row>
    <row r="136" spans="1:8" x14ac:dyDescent="0.2">
      <c r="B136" s="80">
        <v>0</v>
      </c>
      <c r="C136" s="186">
        <v>-100</v>
      </c>
      <c r="D136" s="186">
        <v>-100000</v>
      </c>
      <c r="E136" s="186">
        <v>-1</v>
      </c>
    </row>
    <row r="137" spans="1:8" x14ac:dyDescent="0.2">
      <c r="B137" s="80">
        <v>1</v>
      </c>
      <c r="C137" s="186">
        <v>140</v>
      </c>
      <c r="D137" s="186">
        <v>130000</v>
      </c>
      <c r="E137" s="186">
        <v>2</v>
      </c>
    </row>
    <row r="139" spans="1:8" x14ac:dyDescent="0.2">
      <c r="A139" s="43" t="s">
        <v>321</v>
      </c>
    </row>
    <row r="140" spans="1:8" x14ac:dyDescent="0.2">
      <c r="A140" s="43" t="s">
        <v>1858</v>
      </c>
    </row>
    <row r="141" spans="1:8" x14ac:dyDescent="0.2">
      <c r="A141" s="43" t="s">
        <v>1859</v>
      </c>
    </row>
    <row r="142" spans="1:8" x14ac:dyDescent="0.2">
      <c r="A142" s="43" t="s">
        <v>1860</v>
      </c>
    </row>
    <row r="144" spans="1:8" x14ac:dyDescent="0.2">
      <c r="A144" s="43" t="s">
        <v>1939</v>
      </c>
    </row>
    <row r="145" spans="1:6" x14ac:dyDescent="0.2">
      <c r="B145" s="80" t="s">
        <v>1126</v>
      </c>
      <c r="C145" s="80" t="s">
        <v>1855</v>
      </c>
      <c r="D145" s="80" t="s">
        <v>1856</v>
      </c>
      <c r="E145" s="80" t="s">
        <v>1857</v>
      </c>
    </row>
    <row r="146" spans="1:6" x14ac:dyDescent="0.2">
      <c r="B146" s="80">
        <v>0</v>
      </c>
      <c r="C146" s="186">
        <v>-100</v>
      </c>
      <c r="D146" s="186">
        <v>-100000</v>
      </c>
      <c r="E146" s="186">
        <v>-1</v>
      </c>
    </row>
    <row r="147" spans="1:6" x14ac:dyDescent="0.2">
      <c r="B147" s="80">
        <v>1</v>
      </c>
      <c r="C147" s="186">
        <v>140</v>
      </c>
      <c r="D147" s="186">
        <v>130000</v>
      </c>
      <c r="E147" s="186">
        <v>2</v>
      </c>
    </row>
    <row r="149" spans="1:6" x14ac:dyDescent="0.2">
      <c r="B149" s="47" t="s">
        <v>87</v>
      </c>
      <c r="C149" s="54">
        <v>0.1</v>
      </c>
      <c r="D149" s="54">
        <v>0.1</v>
      </c>
      <c r="E149" s="54">
        <v>0.1</v>
      </c>
    </row>
    <row r="151" spans="1:6" x14ac:dyDescent="0.2">
      <c r="B151" s="47" t="s">
        <v>1869</v>
      </c>
      <c r="C151" s="228">
        <f>NPV(C149,C147)+C146</f>
        <v>27.272727272727266</v>
      </c>
      <c r="D151" s="245">
        <f t="shared" ref="D151:E151" si="2">NPV(D149,D147)+D146</f>
        <v>18181.818181818177</v>
      </c>
      <c r="E151" s="228">
        <f t="shared" si="2"/>
        <v>0.81818181818181812</v>
      </c>
      <c r="F151" s="396" t="s">
        <v>1940</v>
      </c>
    </row>
    <row r="152" spans="1:6" x14ac:dyDescent="0.2">
      <c r="B152" s="47" t="s">
        <v>1863</v>
      </c>
      <c r="C152" s="54">
        <f>IRR(C146:C147)</f>
        <v>0.39999999999999991</v>
      </c>
      <c r="D152" s="54">
        <f t="shared" ref="D152:E152" si="3">IRR(D146:D147)</f>
        <v>0.30000000000000004</v>
      </c>
      <c r="E152" s="246">
        <f t="shared" si="3"/>
        <v>1</v>
      </c>
      <c r="F152" s="396" t="s">
        <v>1941</v>
      </c>
    </row>
    <row r="154" spans="1:6" x14ac:dyDescent="0.2">
      <c r="A154" s="43" t="s">
        <v>1942</v>
      </c>
    </row>
    <row r="155" spans="1:6" x14ac:dyDescent="0.2">
      <c r="A155" s="43" t="s">
        <v>1943</v>
      </c>
    </row>
    <row r="156" spans="1:6" x14ac:dyDescent="0.2">
      <c r="A156" s="43" t="s">
        <v>1944</v>
      </c>
    </row>
    <row r="158" spans="1:6" x14ac:dyDescent="0.2">
      <c r="A158" s="44" t="s">
        <v>1945</v>
      </c>
    </row>
    <row r="162" spans="1:8" x14ac:dyDescent="0.2">
      <c r="A162" s="45" t="s">
        <v>1861</v>
      </c>
      <c r="B162" s="46"/>
      <c r="C162" s="46"/>
      <c r="D162" s="46"/>
      <c r="E162" s="46"/>
      <c r="F162" s="46"/>
      <c r="G162" s="46"/>
      <c r="H162" s="46"/>
    </row>
    <row r="163" spans="1:8" x14ac:dyDescent="0.2">
      <c r="A163" s="43" t="s">
        <v>1862</v>
      </c>
    </row>
    <row r="164" spans="1:8" x14ac:dyDescent="0.2">
      <c r="B164" s="80"/>
      <c r="C164" s="80">
        <v>0</v>
      </c>
      <c r="D164" s="80">
        <v>1</v>
      </c>
      <c r="E164" s="80">
        <v>2</v>
      </c>
      <c r="F164" s="80">
        <v>3</v>
      </c>
      <c r="G164" s="80" t="s">
        <v>1863</v>
      </c>
    </row>
    <row r="165" spans="1:8" x14ac:dyDescent="0.2">
      <c r="B165" s="80" t="s">
        <v>1855</v>
      </c>
      <c r="C165" s="80">
        <v>-200</v>
      </c>
      <c r="D165" s="80">
        <v>120</v>
      </c>
      <c r="E165" s="80">
        <v>120</v>
      </c>
      <c r="F165" s="80">
        <v>120</v>
      </c>
      <c r="G165" s="226">
        <f>IRR(C165:F165)</f>
        <v>0.36309653946985665</v>
      </c>
    </row>
    <row r="166" spans="1:8" x14ac:dyDescent="0.2">
      <c r="B166" s="80" t="s">
        <v>1856</v>
      </c>
      <c r="C166" s="80">
        <v>-100</v>
      </c>
      <c r="D166" s="80">
        <v>80</v>
      </c>
      <c r="E166" s="80">
        <v>80</v>
      </c>
      <c r="F166" s="80">
        <v>80</v>
      </c>
      <c r="G166" s="226">
        <f>IRR(C166:F166)</f>
        <v>0.60735719639169461</v>
      </c>
    </row>
    <row r="168" spans="1:8" x14ac:dyDescent="0.2">
      <c r="A168" s="43" t="s">
        <v>1864</v>
      </c>
    </row>
    <row r="169" spans="1:8" x14ac:dyDescent="0.2">
      <c r="A169" s="43" t="s">
        <v>1865</v>
      </c>
    </row>
    <row r="170" spans="1:8" x14ac:dyDescent="0.2">
      <c r="A170" s="43" t="s">
        <v>1866</v>
      </c>
    </row>
    <row r="171" spans="1:8" x14ac:dyDescent="0.2">
      <c r="A171" s="43" t="s">
        <v>1867</v>
      </c>
    </row>
    <row r="172" spans="1:8" x14ac:dyDescent="0.2">
      <c r="A172" s="43" t="s">
        <v>1868</v>
      </c>
    </row>
    <row r="174" spans="1:8" x14ac:dyDescent="0.2">
      <c r="A174" s="43" t="s">
        <v>1946</v>
      </c>
    </row>
    <row r="175" spans="1:8" x14ac:dyDescent="0.2">
      <c r="A175" s="43" t="s">
        <v>1947</v>
      </c>
    </row>
    <row r="177" spans="1:9" x14ac:dyDescent="0.2">
      <c r="B177" s="80"/>
      <c r="C177" s="80">
        <v>0</v>
      </c>
      <c r="D177" s="80">
        <v>1</v>
      </c>
      <c r="E177" s="80">
        <v>2</v>
      </c>
      <c r="F177" s="80">
        <v>3</v>
      </c>
      <c r="G177" s="80" t="s">
        <v>1863</v>
      </c>
    </row>
    <row r="178" spans="1:9" x14ac:dyDescent="0.2">
      <c r="B178" s="80" t="s">
        <v>1855</v>
      </c>
      <c r="C178" s="80">
        <v>-200</v>
      </c>
      <c r="D178" s="80">
        <v>120</v>
      </c>
      <c r="E178" s="80">
        <v>120</v>
      </c>
      <c r="F178" s="80">
        <v>120</v>
      </c>
      <c r="G178" s="226">
        <f>IRR(C178:F178)</f>
        <v>0.36309653946985665</v>
      </c>
    </row>
    <row r="179" spans="1:9" x14ac:dyDescent="0.2">
      <c r="B179" s="80" t="s">
        <v>1856</v>
      </c>
      <c r="C179" s="80">
        <v>-100</v>
      </c>
      <c r="D179" s="80">
        <v>80</v>
      </c>
      <c r="E179" s="80">
        <v>80</v>
      </c>
      <c r="F179" s="80">
        <v>80</v>
      </c>
      <c r="G179" s="226">
        <f>IRR(C179:F179)</f>
        <v>0.60735719639169461</v>
      </c>
    </row>
    <row r="181" spans="1:9" x14ac:dyDescent="0.2">
      <c r="A181" s="43" t="s">
        <v>1948</v>
      </c>
    </row>
    <row r="182" spans="1:9" x14ac:dyDescent="0.2">
      <c r="B182" s="80"/>
      <c r="C182" s="80" t="s">
        <v>1855</v>
      </c>
      <c r="D182" s="80" t="s">
        <v>1856</v>
      </c>
    </row>
    <row r="183" spans="1:9" x14ac:dyDescent="0.2">
      <c r="B183" s="80">
        <v>0</v>
      </c>
      <c r="C183" s="80">
        <v>-200</v>
      </c>
      <c r="D183" s="80">
        <v>-100</v>
      </c>
    </row>
    <row r="184" spans="1:9" x14ac:dyDescent="0.2">
      <c r="B184" s="80">
        <v>1</v>
      </c>
      <c r="C184" s="80">
        <v>120</v>
      </c>
      <c r="D184" s="80">
        <v>80</v>
      </c>
    </row>
    <row r="185" spans="1:9" x14ac:dyDescent="0.2">
      <c r="B185" s="80">
        <v>2</v>
      </c>
      <c r="C185" s="80">
        <v>120</v>
      </c>
      <c r="D185" s="80">
        <v>80</v>
      </c>
    </row>
    <row r="186" spans="1:9" x14ac:dyDescent="0.2">
      <c r="B186" s="80">
        <v>3</v>
      </c>
      <c r="C186" s="80">
        <v>120</v>
      </c>
      <c r="D186" s="80">
        <v>80</v>
      </c>
    </row>
    <row r="188" spans="1:9" ht="16" thickBot="1" x14ac:dyDescent="0.25">
      <c r="C188" s="47" t="s">
        <v>1949</v>
      </c>
      <c r="D188" s="47" t="s">
        <v>1950</v>
      </c>
      <c r="E188" s="256"/>
      <c r="F188" s="256"/>
      <c r="G188" s="256"/>
    </row>
    <row r="189" spans="1:9" s="256" customFormat="1" ht="16" thickBot="1" x14ac:dyDescent="0.25">
      <c r="A189" s="256" t="s">
        <v>1951</v>
      </c>
      <c r="C189" s="491">
        <f>NPV(5%,C184:C186)+C183</f>
        <v>126.78976352445738</v>
      </c>
      <c r="D189" s="262">
        <f>NPV(5%,D184:D186)+D183</f>
        <v>117.85984234963826</v>
      </c>
      <c r="E189" s="673" t="s">
        <v>1952</v>
      </c>
      <c r="F189" s="673"/>
      <c r="G189" s="673"/>
      <c r="H189" s="673"/>
      <c r="I189" s="515" t="s">
        <v>3251</v>
      </c>
    </row>
    <row r="190" spans="1:9" s="256" customFormat="1" ht="16" thickBot="1" x14ac:dyDescent="0.25">
      <c r="A190" s="256" t="s">
        <v>1953</v>
      </c>
      <c r="C190" s="492">
        <f>NPV(9.7%,C184:C186)+C183</f>
        <v>100.00543737920071</v>
      </c>
      <c r="D190" s="492">
        <f>NPV(9.7%,D184:D186)+D183</f>
        <v>100.00362491946717</v>
      </c>
      <c r="E190" s="673" t="s">
        <v>1954</v>
      </c>
      <c r="F190" s="673"/>
      <c r="G190" s="673"/>
      <c r="H190" s="673"/>
      <c r="I190" s="515" t="s">
        <v>3252</v>
      </c>
    </row>
    <row r="191" spans="1:9" ht="16" thickBot="1" x14ac:dyDescent="0.25">
      <c r="A191" s="256" t="s">
        <v>1955</v>
      </c>
      <c r="C191" s="262">
        <f>NPV(15%,C184:C186)+C183</f>
        <v>73.987014054409485</v>
      </c>
      <c r="D191" s="493">
        <f>NPV(15%,D184:D186)+D183</f>
        <v>82.658009369606361</v>
      </c>
      <c r="E191" s="256" t="s">
        <v>2143</v>
      </c>
      <c r="F191" s="256"/>
      <c r="G191" s="256"/>
      <c r="H191" s="256"/>
    </row>
    <row r="192" spans="1:9" s="256" customFormat="1" ht="16" thickBot="1" x14ac:dyDescent="0.25">
      <c r="A192" s="256" t="s">
        <v>1956</v>
      </c>
      <c r="C192" s="262">
        <f>NPV(60.74%,C184:C186)+C183</f>
        <v>-50.006770079154393</v>
      </c>
      <c r="D192" s="493">
        <f>NPV(60.74%,D184:D186)+D183</f>
        <v>-4.5133861029285072E-3</v>
      </c>
      <c r="E192" s="256" t="s">
        <v>1957</v>
      </c>
    </row>
    <row r="194" spans="1:8" x14ac:dyDescent="0.2">
      <c r="A194" s="43" t="s">
        <v>3237</v>
      </c>
    </row>
    <row r="195" spans="1:8" x14ac:dyDescent="0.2">
      <c r="A195" s="43" t="s">
        <v>3238</v>
      </c>
    </row>
    <row r="197" spans="1:8" x14ac:dyDescent="0.2">
      <c r="A197" s="43" t="s">
        <v>3244</v>
      </c>
      <c r="G197" s="47" t="s">
        <v>1869</v>
      </c>
    </row>
    <row r="198" spans="1:8" x14ac:dyDescent="0.2">
      <c r="A198" s="43" t="s">
        <v>3245</v>
      </c>
      <c r="G198" s="47"/>
    </row>
    <row r="199" spans="1:8" x14ac:dyDescent="0.2">
      <c r="A199" s="43" t="s">
        <v>3246</v>
      </c>
      <c r="G199" s="47"/>
    </row>
    <row r="200" spans="1:8" x14ac:dyDescent="0.2">
      <c r="A200" s="43" t="s">
        <v>3247</v>
      </c>
      <c r="G200" s="47"/>
    </row>
    <row r="201" spans="1:8" x14ac:dyDescent="0.2">
      <c r="A201" s="43" t="s">
        <v>3248</v>
      </c>
      <c r="G201" s="47"/>
    </row>
    <row r="202" spans="1:8" x14ac:dyDescent="0.2">
      <c r="A202" s="43" t="s">
        <v>3249</v>
      </c>
      <c r="G202" s="47"/>
      <c r="H202" s="43">
        <v>100</v>
      </c>
    </row>
    <row r="203" spans="1:8" x14ac:dyDescent="0.2">
      <c r="A203" s="43" t="s">
        <v>3250</v>
      </c>
      <c r="G203" s="47"/>
    </row>
    <row r="204" spans="1:8" x14ac:dyDescent="0.2">
      <c r="G204" s="47"/>
    </row>
    <row r="205" spans="1:8" x14ac:dyDescent="0.2">
      <c r="E205" s="72">
        <v>0.60740000000000005</v>
      </c>
      <c r="G205" s="47"/>
    </row>
    <row r="206" spans="1:8" x14ac:dyDescent="0.2">
      <c r="C206" s="43" t="s">
        <v>3239</v>
      </c>
      <c r="G206" s="47"/>
    </row>
    <row r="207" spans="1:8" x14ac:dyDescent="0.2">
      <c r="G207" s="672">
        <v>9.7000000000000003E-2</v>
      </c>
    </row>
    <row r="208" spans="1:8" x14ac:dyDescent="0.2">
      <c r="C208" s="43" t="s">
        <v>1982</v>
      </c>
      <c r="G208" s="47"/>
    </row>
    <row r="209" spans="1:9" x14ac:dyDescent="0.2">
      <c r="D209" s="43" t="s">
        <v>1983</v>
      </c>
      <c r="F209" s="673" t="s">
        <v>3240</v>
      </c>
      <c r="G209" s="673"/>
      <c r="H209" s="673"/>
      <c r="I209" s="673"/>
    </row>
    <row r="210" spans="1:9" x14ac:dyDescent="0.2">
      <c r="F210" s="673" t="s">
        <v>3241</v>
      </c>
      <c r="G210" s="673"/>
      <c r="H210" s="673"/>
      <c r="I210" s="673"/>
    </row>
    <row r="211" spans="1:9" x14ac:dyDescent="0.2">
      <c r="E211" s="179" t="s">
        <v>3253</v>
      </c>
      <c r="F211" s="673" t="s">
        <v>3242</v>
      </c>
      <c r="G211" s="673"/>
      <c r="H211" s="673"/>
      <c r="I211" s="673"/>
    </row>
    <row r="212" spans="1:9" x14ac:dyDescent="0.2">
      <c r="F212" s="673" t="s">
        <v>3243</v>
      </c>
      <c r="G212" s="673"/>
      <c r="H212" s="673"/>
      <c r="I212" s="673"/>
    </row>
    <row r="214" spans="1:9" x14ac:dyDescent="0.2">
      <c r="A214" s="45" t="s">
        <v>2181</v>
      </c>
      <c r="B214" s="46"/>
      <c r="C214" s="46"/>
      <c r="D214" s="46"/>
      <c r="E214" s="46"/>
      <c r="F214" s="247"/>
      <c r="G214" s="247" t="s">
        <v>3254</v>
      </c>
      <c r="H214" s="46"/>
    </row>
    <row r="215" spans="1:9" x14ac:dyDescent="0.2">
      <c r="A215" s="43" t="s">
        <v>3256</v>
      </c>
    </row>
    <row r="217" spans="1:9" x14ac:dyDescent="0.2">
      <c r="B217" s="80" t="s">
        <v>564</v>
      </c>
      <c r="C217" s="80" t="s">
        <v>1855</v>
      </c>
    </row>
    <row r="218" spans="1:9" x14ac:dyDescent="0.2">
      <c r="B218" s="80">
        <v>0</v>
      </c>
      <c r="C218" s="80">
        <v>-200</v>
      </c>
    </row>
    <row r="219" spans="1:9" x14ac:dyDescent="0.2">
      <c r="B219" s="80">
        <v>1</v>
      </c>
      <c r="C219" s="80">
        <v>120</v>
      </c>
    </row>
    <row r="220" spans="1:9" x14ac:dyDescent="0.2">
      <c r="B220" s="80">
        <v>2</v>
      </c>
      <c r="C220" s="80">
        <v>120</v>
      </c>
    </row>
    <row r="221" spans="1:9" x14ac:dyDescent="0.2">
      <c r="B221" s="80">
        <v>3</v>
      </c>
      <c r="C221" s="80">
        <v>120</v>
      </c>
    </row>
    <row r="223" spans="1:9" x14ac:dyDescent="0.2">
      <c r="A223" s="43" t="s">
        <v>3257</v>
      </c>
    </row>
    <row r="225" spans="1:10" x14ac:dyDescent="0.2">
      <c r="A225" s="43" t="s">
        <v>111</v>
      </c>
    </row>
    <row r="226" spans="1:10" x14ac:dyDescent="0.2">
      <c r="A226" s="43" t="s">
        <v>2144</v>
      </c>
    </row>
    <row r="227" spans="1:10" x14ac:dyDescent="0.2">
      <c r="A227" s="43" t="s">
        <v>3258</v>
      </c>
    </row>
    <row r="228" spans="1:10" x14ac:dyDescent="0.2">
      <c r="A228" s="43" t="s">
        <v>2145</v>
      </c>
    </row>
    <row r="229" spans="1:10" ht="16" thickBot="1" x14ac:dyDescent="0.25"/>
    <row r="230" spans="1:10" x14ac:dyDescent="0.2">
      <c r="H230" s="277" t="s">
        <v>3259</v>
      </c>
      <c r="I230" s="212"/>
      <c r="J230" s="213"/>
    </row>
    <row r="231" spans="1:10" x14ac:dyDescent="0.2">
      <c r="E231" s="43" t="s">
        <v>1958</v>
      </c>
      <c r="H231" s="276" t="s">
        <v>2182</v>
      </c>
      <c r="J231" s="215"/>
    </row>
    <row r="232" spans="1:10" ht="16" thickBot="1" x14ac:dyDescent="0.25">
      <c r="H232" s="241" t="s">
        <v>3260</v>
      </c>
      <c r="I232" s="217"/>
      <c r="J232" s="218"/>
    </row>
    <row r="233" spans="1:10" ht="16" thickBot="1" x14ac:dyDescent="0.25"/>
    <row r="234" spans="1:10" x14ac:dyDescent="0.2">
      <c r="H234" s="277" t="s">
        <v>1959</v>
      </c>
      <c r="I234" s="212"/>
      <c r="J234" s="213"/>
    </row>
    <row r="235" spans="1:10" ht="16" thickBot="1" x14ac:dyDescent="0.25">
      <c r="H235" s="234" t="s">
        <v>1921</v>
      </c>
      <c r="I235" s="217"/>
      <c r="J235" s="218"/>
    </row>
    <row r="236" spans="1:10" ht="16" thickBot="1" x14ac:dyDescent="0.25"/>
    <row r="237" spans="1:10" x14ac:dyDescent="0.2">
      <c r="H237" s="277" t="s">
        <v>3261</v>
      </c>
      <c r="I237" s="212"/>
      <c r="J237" s="213"/>
    </row>
    <row r="238" spans="1:10" x14ac:dyDescent="0.2">
      <c r="H238" s="276" t="s">
        <v>1960</v>
      </c>
      <c r="J238" s="215"/>
    </row>
    <row r="239" spans="1:10" x14ac:dyDescent="0.2">
      <c r="A239" s="43" t="s">
        <v>1961</v>
      </c>
      <c r="H239" s="276" t="s">
        <v>3262</v>
      </c>
      <c r="J239" s="215"/>
    </row>
    <row r="240" spans="1:10" ht="16" thickBot="1" x14ac:dyDescent="0.25">
      <c r="H240" s="674" t="s">
        <v>1962</v>
      </c>
      <c r="I240" s="217"/>
      <c r="J240" s="218"/>
    </row>
    <row r="242" spans="1:11" x14ac:dyDescent="0.2">
      <c r="B242" s="47" t="s">
        <v>1949</v>
      </c>
      <c r="H242" s="43" t="s">
        <v>1963</v>
      </c>
    </row>
    <row r="243" spans="1:11" x14ac:dyDescent="0.2">
      <c r="I243" s="499" t="s">
        <v>1964</v>
      </c>
    </row>
    <row r="246" spans="1:11" x14ac:dyDescent="0.2">
      <c r="A246" s="43" t="s">
        <v>3263</v>
      </c>
    </row>
    <row r="247" spans="1:11" x14ac:dyDescent="0.2">
      <c r="A247" s="43" t="s">
        <v>3264</v>
      </c>
    </row>
    <row r="248" spans="1:11" x14ac:dyDescent="0.2">
      <c r="A248" s="43" t="s">
        <v>3265</v>
      </c>
    </row>
    <row r="249" spans="1:11" x14ac:dyDescent="0.2">
      <c r="A249" s="43" t="s">
        <v>3266</v>
      </c>
    </row>
    <row r="250" spans="1:11" x14ac:dyDescent="0.2">
      <c r="A250" s="43" t="s">
        <v>3267</v>
      </c>
    </row>
    <row r="252" spans="1:11" x14ac:dyDescent="0.2">
      <c r="A252" s="45" t="s">
        <v>3272</v>
      </c>
      <c r="B252" s="46"/>
      <c r="C252" s="46"/>
      <c r="D252" s="46"/>
      <c r="E252" s="46"/>
      <c r="F252" s="46"/>
      <c r="G252" s="46"/>
      <c r="H252" s="46"/>
      <c r="I252" s="46"/>
      <c r="J252" s="46"/>
      <c r="K252" s="46"/>
    </row>
    <row r="253" spans="1:11" x14ac:dyDescent="0.2">
      <c r="A253" s="45"/>
      <c r="B253" s="46"/>
      <c r="C253" s="46"/>
      <c r="D253" s="46"/>
      <c r="E253" s="46"/>
      <c r="F253" s="46"/>
      <c r="G253" s="46"/>
      <c r="H253" s="46"/>
      <c r="I253" s="46"/>
      <c r="J253" s="46"/>
      <c r="K253" s="46"/>
    </row>
    <row r="254" spans="1:11" x14ac:dyDescent="0.2">
      <c r="A254" s="45" t="s">
        <v>1029</v>
      </c>
      <c r="B254" s="46"/>
      <c r="C254" s="46"/>
      <c r="D254" s="46"/>
      <c r="E254" s="46"/>
      <c r="F254" s="46"/>
      <c r="G254" s="46"/>
      <c r="H254" s="46"/>
      <c r="I254" s="46"/>
      <c r="J254" s="46"/>
      <c r="K254" s="46"/>
    </row>
    <row r="255" spans="1:11" x14ac:dyDescent="0.2">
      <c r="A255" s="45" t="s">
        <v>3268</v>
      </c>
      <c r="B255" s="46"/>
      <c r="C255" s="46"/>
      <c r="D255" s="46"/>
      <c r="E255" s="46"/>
      <c r="F255" s="46"/>
      <c r="G255" s="46"/>
      <c r="H255" s="46"/>
      <c r="I255" s="46"/>
      <c r="J255" s="46"/>
      <c r="K255" s="46"/>
    </row>
    <row r="256" spans="1:11" x14ac:dyDescent="0.2">
      <c r="A256" s="45" t="s">
        <v>3269</v>
      </c>
      <c r="B256" s="46"/>
      <c r="C256" s="46"/>
      <c r="D256" s="46"/>
      <c r="E256" s="46"/>
      <c r="F256" s="46"/>
      <c r="G256" s="46"/>
      <c r="H256" s="46"/>
      <c r="I256" s="46"/>
      <c r="J256" s="46"/>
      <c r="K256" s="46"/>
    </row>
    <row r="257" spans="1:12" x14ac:dyDescent="0.2">
      <c r="A257" s="45"/>
      <c r="B257" s="46"/>
      <c r="C257" s="46"/>
      <c r="D257" s="46"/>
      <c r="E257" s="46"/>
      <c r="F257" s="46"/>
      <c r="G257" s="46"/>
      <c r="H257" s="46"/>
      <c r="I257" s="46"/>
      <c r="J257" s="46"/>
      <c r="K257" s="46"/>
    </row>
    <row r="258" spans="1:12" x14ac:dyDescent="0.2">
      <c r="A258" s="45" t="s">
        <v>3270</v>
      </c>
      <c r="B258" s="46"/>
      <c r="C258" s="46"/>
      <c r="D258" s="46"/>
      <c r="E258" s="46"/>
      <c r="F258" s="46"/>
      <c r="G258" s="46"/>
      <c r="H258" s="46"/>
      <c r="I258" s="46"/>
      <c r="J258" s="46"/>
      <c r="K258" s="46"/>
    </row>
    <row r="259" spans="1:12" x14ac:dyDescent="0.2">
      <c r="A259" s="45" t="s">
        <v>3271</v>
      </c>
      <c r="B259" s="46"/>
      <c r="C259" s="46"/>
      <c r="D259" s="46"/>
      <c r="E259" s="46"/>
      <c r="F259" s="46"/>
      <c r="G259" s="46"/>
      <c r="H259" s="46"/>
      <c r="I259" s="46"/>
      <c r="J259" s="46"/>
      <c r="K259" s="46"/>
    </row>
    <row r="260" spans="1:12" x14ac:dyDescent="0.2">
      <c r="A260" s="44"/>
    </row>
    <row r="261" spans="1:12" x14ac:dyDescent="0.2">
      <c r="A261" s="43" t="s">
        <v>3273</v>
      </c>
    </row>
    <row r="262" spans="1:12" x14ac:dyDescent="0.2">
      <c r="A262" s="43" t="s">
        <v>3274</v>
      </c>
    </row>
    <row r="264" spans="1:12" x14ac:dyDescent="0.2">
      <c r="A264" s="80"/>
      <c r="B264" s="80">
        <v>0</v>
      </c>
      <c r="C264" s="80">
        <v>1</v>
      </c>
      <c r="D264" s="80">
        <v>2</v>
      </c>
      <c r="E264" s="80">
        <v>3</v>
      </c>
      <c r="F264" s="80">
        <v>4</v>
      </c>
      <c r="G264" s="80" t="s">
        <v>1869</v>
      </c>
      <c r="H264" s="80" t="s">
        <v>1870</v>
      </c>
    </row>
    <row r="265" spans="1:12" x14ac:dyDescent="0.2">
      <c r="A265" s="80" t="s">
        <v>1855</v>
      </c>
      <c r="B265" s="80">
        <v>-100</v>
      </c>
      <c r="C265" s="80">
        <v>100</v>
      </c>
      <c r="D265" s="80">
        <v>0</v>
      </c>
      <c r="E265" s="80">
        <v>100</v>
      </c>
      <c r="F265" s="80">
        <v>0</v>
      </c>
      <c r="G265" s="80"/>
      <c r="H265" s="80"/>
    </row>
    <row r="266" spans="1:12" x14ac:dyDescent="0.2">
      <c r="A266" s="80" t="s">
        <v>1856</v>
      </c>
      <c r="B266" s="80">
        <v>-150</v>
      </c>
      <c r="C266" s="80">
        <v>0</v>
      </c>
      <c r="D266" s="80">
        <v>100</v>
      </c>
      <c r="E266" s="80">
        <v>0</v>
      </c>
      <c r="F266" s="80">
        <v>200</v>
      </c>
      <c r="G266" s="80"/>
      <c r="H266" s="80"/>
    </row>
    <row r="267" spans="1:12" x14ac:dyDescent="0.2">
      <c r="A267" s="80" t="s">
        <v>1857</v>
      </c>
      <c r="B267" s="80">
        <v>-300</v>
      </c>
      <c r="C267" s="80">
        <v>300</v>
      </c>
      <c r="D267" s="80">
        <v>0</v>
      </c>
      <c r="E267" s="80">
        <v>200</v>
      </c>
      <c r="F267" s="80">
        <v>0</v>
      </c>
      <c r="G267" s="80"/>
      <c r="H267" s="80"/>
    </row>
    <row r="268" spans="1:12" x14ac:dyDescent="0.2">
      <c r="A268" s="80" t="s">
        <v>1871</v>
      </c>
      <c r="B268" s="80">
        <v>-50</v>
      </c>
      <c r="C268" s="80">
        <v>0</v>
      </c>
      <c r="D268" s="80">
        <v>0</v>
      </c>
      <c r="E268" s="80">
        <v>120</v>
      </c>
      <c r="F268" s="80">
        <v>0</v>
      </c>
      <c r="G268" s="80"/>
      <c r="H268" s="80"/>
    </row>
    <row r="269" spans="1:12" x14ac:dyDescent="0.2">
      <c r="A269" s="80" t="s">
        <v>1872</v>
      </c>
      <c r="B269" s="80">
        <v>-500</v>
      </c>
      <c r="C269" s="80">
        <v>0</v>
      </c>
      <c r="D269" s="80">
        <v>0</v>
      </c>
      <c r="E269" s="80">
        <v>400</v>
      </c>
      <c r="F269" s="80">
        <v>500</v>
      </c>
      <c r="G269" s="80"/>
      <c r="H269" s="80"/>
    </row>
    <row r="271" spans="1:12" x14ac:dyDescent="0.2">
      <c r="A271" s="43" t="s">
        <v>1873</v>
      </c>
      <c r="L271" s="43" t="s">
        <v>3280</v>
      </c>
    </row>
    <row r="272" spans="1:12" x14ac:dyDescent="0.2">
      <c r="L272" s="43" t="s">
        <v>3281</v>
      </c>
    </row>
    <row r="273" spans="1:18" x14ac:dyDescent="0.2">
      <c r="A273" s="44" t="s">
        <v>111</v>
      </c>
      <c r="B273" s="43" t="s">
        <v>3275</v>
      </c>
      <c r="L273" s="43" t="s">
        <v>3282</v>
      </c>
    </row>
    <row r="274" spans="1:18" x14ac:dyDescent="0.2">
      <c r="A274" s="44"/>
      <c r="B274" s="43" t="s">
        <v>3276</v>
      </c>
    </row>
    <row r="275" spans="1:18" x14ac:dyDescent="0.2">
      <c r="A275" s="44"/>
      <c r="B275" s="43" t="s">
        <v>3277</v>
      </c>
    </row>
    <row r="276" spans="1:18" x14ac:dyDescent="0.2">
      <c r="A276" s="44"/>
      <c r="B276" s="43" t="s">
        <v>3278</v>
      </c>
    </row>
    <row r="277" spans="1:18" x14ac:dyDescent="0.2">
      <c r="A277" s="44"/>
    </row>
    <row r="278" spans="1:18" ht="112" x14ac:dyDescent="0.2">
      <c r="A278" s="80"/>
      <c r="B278" s="80">
        <v>0</v>
      </c>
      <c r="C278" s="80">
        <v>1</v>
      </c>
      <c r="D278" s="80">
        <v>2</v>
      </c>
      <c r="E278" s="80">
        <v>3</v>
      </c>
      <c r="F278" s="80">
        <v>4</v>
      </c>
      <c r="G278" s="675" t="s">
        <v>3279</v>
      </c>
      <c r="H278" s="504" t="s">
        <v>2190</v>
      </c>
      <c r="I278" s="506" t="s">
        <v>2146</v>
      </c>
      <c r="L278" s="725" t="s">
        <v>3286</v>
      </c>
      <c r="M278" s="726"/>
      <c r="N278" s="726"/>
      <c r="O278" s="726"/>
      <c r="P278" s="726"/>
      <c r="Q278" s="726"/>
      <c r="R278" s="726"/>
    </row>
    <row r="279" spans="1:18" x14ac:dyDescent="0.2">
      <c r="A279" s="80" t="s">
        <v>1855</v>
      </c>
      <c r="B279" s="80">
        <v>-100</v>
      </c>
      <c r="C279" s="80">
        <v>100</v>
      </c>
      <c r="D279" s="80">
        <v>0</v>
      </c>
      <c r="E279" s="80">
        <v>100</v>
      </c>
      <c r="F279" s="80">
        <v>0</v>
      </c>
      <c r="G279" s="248">
        <f>NPV(10%,C279:F279)+B279</f>
        <v>66.040570999248644</v>
      </c>
      <c r="H279" s="505">
        <f>G279/ABS(B279)</f>
        <v>0.66040570999248649</v>
      </c>
      <c r="I279" s="506">
        <v>2</v>
      </c>
    </row>
    <row r="280" spans="1:18" x14ac:dyDescent="0.2">
      <c r="A280" s="80" t="s">
        <v>1856</v>
      </c>
      <c r="B280" s="80">
        <v>-150</v>
      </c>
      <c r="C280" s="80">
        <v>0</v>
      </c>
      <c r="D280" s="80">
        <v>100</v>
      </c>
      <c r="E280" s="80">
        <v>0</v>
      </c>
      <c r="F280" s="80">
        <v>200</v>
      </c>
      <c r="G280" s="248">
        <f t="shared" ref="G280:G283" si="4">NPV(10%,C280:F280)+B280</f>
        <v>69.247319172187616</v>
      </c>
      <c r="H280" s="505">
        <f t="shared" ref="H280:H283" si="5">G280/ABS(B280)</f>
        <v>0.46164879448125079</v>
      </c>
      <c r="I280" s="506">
        <v>3</v>
      </c>
    </row>
    <row r="281" spans="1:18" x14ac:dyDescent="0.2">
      <c r="A281" s="80" t="s">
        <v>1857</v>
      </c>
      <c r="B281" s="80">
        <v>-300</v>
      </c>
      <c r="C281" s="80">
        <v>300</v>
      </c>
      <c r="D281" s="80">
        <v>0</v>
      </c>
      <c r="E281" s="80">
        <v>200</v>
      </c>
      <c r="F281" s="80">
        <v>0</v>
      </c>
      <c r="G281" s="248">
        <f t="shared" si="4"/>
        <v>122.99023290758822</v>
      </c>
      <c r="H281" s="505">
        <f t="shared" si="5"/>
        <v>0.40996744302529409</v>
      </c>
      <c r="I281" s="506">
        <v>4</v>
      </c>
    </row>
    <row r="282" spans="1:18" x14ac:dyDescent="0.2">
      <c r="A282" s="80" t="s">
        <v>1871</v>
      </c>
      <c r="B282" s="80">
        <v>-50</v>
      </c>
      <c r="C282" s="80">
        <v>0</v>
      </c>
      <c r="D282" s="80">
        <v>0</v>
      </c>
      <c r="E282" s="80">
        <v>120</v>
      </c>
      <c r="F282" s="80">
        <v>0</v>
      </c>
      <c r="G282" s="248">
        <f t="shared" si="4"/>
        <v>40.15777610818931</v>
      </c>
      <c r="H282" s="505">
        <f t="shared" si="5"/>
        <v>0.80315552216378616</v>
      </c>
      <c r="I282" s="506">
        <v>1</v>
      </c>
    </row>
    <row r="283" spans="1:18" x14ac:dyDescent="0.2">
      <c r="A283" s="80" t="s">
        <v>1872</v>
      </c>
      <c r="B283" s="80">
        <v>-500</v>
      </c>
      <c r="C283" s="80">
        <v>0</v>
      </c>
      <c r="D283" s="80">
        <v>0</v>
      </c>
      <c r="E283" s="80">
        <v>400</v>
      </c>
      <c r="F283" s="80">
        <v>500</v>
      </c>
      <c r="G283" s="248">
        <f t="shared" si="4"/>
        <v>142.03264804316632</v>
      </c>
      <c r="H283" s="505">
        <f t="shared" si="5"/>
        <v>0.28406529608633263</v>
      </c>
      <c r="I283" s="506">
        <v>5</v>
      </c>
      <c r="J283" s="251"/>
    </row>
    <row r="284" spans="1:18" x14ac:dyDescent="0.2">
      <c r="A284" s="44"/>
      <c r="L284" s="43" t="s">
        <v>3283</v>
      </c>
    </row>
    <row r="285" spans="1:18" x14ac:dyDescent="0.2">
      <c r="A285" s="44" t="s">
        <v>1965</v>
      </c>
    </row>
    <row r="286" spans="1:18" x14ac:dyDescent="0.2">
      <c r="A286" s="43" t="s">
        <v>1966</v>
      </c>
    </row>
    <row r="287" spans="1:18" x14ac:dyDescent="0.2">
      <c r="A287" s="43" t="s">
        <v>1967</v>
      </c>
    </row>
    <row r="289" spans="1:16" x14ac:dyDescent="0.2">
      <c r="A289" s="44" t="s">
        <v>2147</v>
      </c>
      <c r="N289" s="43" t="s">
        <v>3285</v>
      </c>
    </row>
    <row r="290" spans="1:16" x14ac:dyDescent="0.2">
      <c r="A290" s="44"/>
    </row>
    <row r="291" spans="1:16" x14ac:dyDescent="0.2">
      <c r="A291" s="43" t="s">
        <v>2148</v>
      </c>
    </row>
    <row r="292" spans="1:16" x14ac:dyDescent="0.2">
      <c r="A292" s="43" t="s">
        <v>1968</v>
      </c>
      <c r="M292" s="43" t="s">
        <v>3284</v>
      </c>
    </row>
    <row r="293" spans="1:16" x14ac:dyDescent="0.2">
      <c r="A293" s="43" t="s">
        <v>2191</v>
      </c>
    </row>
    <row r="295" spans="1:16" ht="32" x14ac:dyDescent="0.2">
      <c r="A295" s="80"/>
      <c r="B295" s="80" t="s">
        <v>1870</v>
      </c>
      <c r="C295" s="231" t="s">
        <v>1969</v>
      </c>
      <c r="D295" s="231" t="s">
        <v>1970</v>
      </c>
      <c r="E295" s="675" t="s">
        <v>3288</v>
      </c>
    </row>
    <row r="296" spans="1:16" x14ac:dyDescent="0.2">
      <c r="A296" s="676" t="s">
        <v>3287</v>
      </c>
      <c r="B296" s="80"/>
      <c r="C296" s="677"/>
      <c r="D296" s="80">
        <v>500</v>
      </c>
      <c r="E296" s="677"/>
    </row>
    <row r="297" spans="1:16" x14ac:dyDescent="0.2">
      <c r="A297" s="252" t="s">
        <v>1871</v>
      </c>
      <c r="B297" s="255">
        <f>H282</f>
        <v>0.80315552216378616</v>
      </c>
      <c r="C297" s="252">
        <f>MIN(ABS(B282),D296)</f>
        <v>50</v>
      </c>
      <c r="D297" s="252">
        <f>D296-C297</f>
        <v>450</v>
      </c>
      <c r="E297" s="253">
        <f>G282</f>
        <v>40.15777610818931</v>
      </c>
    </row>
    <row r="298" spans="1:16" x14ac:dyDescent="0.2">
      <c r="A298" s="252" t="s">
        <v>1855</v>
      </c>
      <c r="B298" s="255">
        <f>H279</f>
        <v>0.66040570999248649</v>
      </c>
      <c r="C298" s="252">
        <f>MIN(ABS(B279),D297)</f>
        <v>100</v>
      </c>
      <c r="D298" s="252">
        <f>D297-C298</f>
        <v>350</v>
      </c>
      <c r="E298" s="253">
        <f>G279</f>
        <v>66.040570999248644</v>
      </c>
      <c r="I298" s="43" t="s">
        <v>3290</v>
      </c>
      <c r="P298" s="43" t="s">
        <v>3292</v>
      </c>
    </row>
    <row r="299" spans="1:16" x14ac:dyDescent="0.2">
      <c r="A299" s="252" t="s">
        <v>1856</v>
      </c>
      <c r="B299" s="255">
        <f>H280</f>
        <v>0.46164879448125079</v>
      </c>
      <c r="C299" s="252">
        <f>MIN(ABS(B280),D298)</f>
        <v>150</v>
      </c>
      <c r="D299" s="252">
        <f>D298-C299</f>
        <v>200</v>
      </c>
      <c r="E299" s="253">
        <f>G280</f>
        <v>69.247319172187616</v>
      </c>
      <c r="P299" s="43" t="s">
        <v>3293</v>
      </c>
    </row>
    <row r="300" spans="1:16" x14ac:dyDescent="0.2">
      <c r="A300" s="252" t="s">
        <v>1857</v>
      </c>
      <c r="B300" s="255">
        <f>H281</f>
        <v>0.40996744302529409</v>
      </c>
      <c r="C300" s="254">
        <f>MIN(ABS(B281),D299)</f>
        <v>200</v>
      </c>
      <c r="D300" s="252">
        <f>D299-C300</f>
        <v>0</v>
      </c>
      <c r="E300" s="255">
        <f>C300/ABS(B281)*G281</f>
        <v>81.993488605058815</v>
      </c>
      <c r="H300" s="43" t="s">
        <v>1972</v>
      </c>
      <c r="P300" s="43" t="s">
        <v>3294</v>
      </c>
    </row>
    <row r="301" spans="1:16" s="256" customFormat="1" x14ac:dyDescent="0.2">
      <c r="A301" s="256" t="s">
        <v>3298</v>
      </c>
      <c r="C301" s="29"/>
      <c r="D301" s="29"/>
      <c r="E301" s="257">
        <f>SUM(E297:E300)</f>
        <v>257.4391548846844</v>
      </c>
      <c r="P301" s="256" t="s">
        <v>3295</v>
      </c>
    </row>
    <row r="302" spans="1:16" x14ac:dyDescent="0.2">
      <c r="G302" s="43" t="s">
        <v>3291</v>
      </c>
      <c r="I302" s="43" t="s">
        <v>3289</v>
      </c>
      <c r="P302" s="43" t="s">
        <v>3297</v>
      </c>
    </row>
    <row r="304" spans="1:16" x14ac:dyDescent="0.2">
      <c r="A304" s="44" t="s">
        <v>3299</v>
      </c>
      <c r="B304" s="44"/>
      <c r="C304" s="44"/>
      <c r="D304" s="44"/>
      <c r="E304" s="44"/>
      <c r="F304" s="44"/>
      <c r="G304" s="44"/>
    </row>
    <row r="305" spans="1:16" x14ac:dyDescent="0.2">
      <c r="A305" s="44" t="s">
        <v>3300</v>
      </c>
      <c r="B305" s="44"/>
      <c r="C305" s="44"/>
      <c r="D305" s="44"/>
      <c r="E305" s="44"/>
      <c r="F305" s="44"/>
      <c r="G305" s="44"/>
    </row>
    <row r="307" spans="1:16" x14ac:dyDescent="0.2">
      <c r="A307" s="678" t="s">
        <v>3301</v>
      </c>
      <c r="B307" s="678"/>
      <c r="C307" s="678"/>
      <c r="D307" s="678"/>
      <c r="E307" s="678"/>
      <c r="F307" s="678"/>
      <c r="G307" s="678"/>
      <c r="H307" s="678"/>
      <c r="P307" s="43" t="s">
        <v>3296</v>
      </c>
    </row>
    <row r="308" spans="1:16" x14ac:dyDescent="0.2">
      <c r="A308" s="678" t="s">
        <v>1974</v>
      </c>
      <c r="B308" s="678"/>
      <c r="C308" s="678"/>
      <c r="D308" s="678"/>
      <c r="E308" s="678"/>
      <c r="F308" s="678"/>
      <c r="G308" s="678"/>
      <c r="H308" s="678"/>
    </row>
    <row r="309" spans="1:16" x14ac:dyDescent="0.2">
      <c r="A309" s="678" t="s">
        <v>1975</v>
      </c>
      <c r="B309" s="678"/>
      <c r="C309" s="678"/>
      <c r="D309" s="678"/>
      <c r="E309" s="678"/>
      <c r="F309" s="678"/>
      <c r="G309" s="678"/>
      <c r="H309" s="678"/>
    </row>
    <row r="310" spans="1:16" x14ac:dyDescent="0.2">
      <c r="A310" s="678" t="s">
        <v>1976</v>
      </c>
      <c r="B310" s="678"/>
      <c r="C310" s="678"/>
      <c r="D310" s="678"/>
      <c r="E310" s="678"/>
      <c r="F310" s="678"/>
      <c r="G310" s="678"/>
      <c r="H310" s="678"/>
    </row>
    <row r="311" spans="1:16" x14ac:dyDescent="0.2">
      <c r="A311" s="678" t="s">
        <v>1977</v>
      </c>
      <c r="B311" s="678"/>
      <c r="C311" s="678"/>
      <c r="D311" s="678"/>
      <c r="E311" s="678"/>
      <c r="F311" s="678"/>
      <c r="G311" s="678"/>
      <c r="H311" s="678"/>
    </row>
    <row r="312" spans="1:16" x14ac:dyDescent="0.2">
      <c r="A312" s="678"/>
      <c r="B312" s="678"/>
      <c r="C312" s="678"/>
      <c r="D312" s="678"/>
      <c r="E312" s="678"/>
      <c r="F312" s="678"/>
      <c r="G312" s="678"/>
      <c r="H312" s="678"/>
    </row>
    <row r="313" spans="1:16" x14ac:dyDescent="0.2">
      <c r="A313" s="679" t="s">
        <v>2192</v>
      </c>
      <c r="B313" s="678"/>
      <c r="C313" s="678"/>
      <c r="D313" s="678"/>
      <c r="E313" s="678"/>
      <c r="F313" s="678"/>
      <c r="G313" s="678"/>
      <c r="H313" s="678"/>
    </row>
    <row r="317" spans="1:16" x14ac:dyDescent="0.2">
      <c r="A317" s="44" t="s">
        <v>1978</v>
      </c>
    </row>
    <row r="321" spans="1:8" x14ac:dyDescent="0.2">
      <c r="A321" s="45" t="s">
        <v>1874</v>
      </c>
      <c r="B321" s="45"/>
      <c r="C321" s="45"/>
      <c r="D321" s="45"/>
      <c r="E321" s="45"/>
      <c r="F321" s="45"/>
      <c r="G321" s="45"/>
      <c r="H321" s="45" t="s">
        <v>780</v>
      </c>
    </row>
    <row r="322" spans="1:8" x14ac:dyDescent="0.2">
      <c r="A322" s="43" t="s">
        <v>1875</v>
      </c>
    </row>
    <row r="323" spans="1:8" x14ac:dyDescent="0.2">
      <c r="A323" s="43" t="s">
        <v>1876</v>
      </c>
    </row>
    <row r="324" spans="1:8" x14ac:dyDescent="0.2">
      <c r="B324" s="80"/>
      <c r="C324" s="80">
        <v>0</v>
      </c>
      <c r="D324" s="80">
        <v>1</v>
      </c>
      <c r="E324" s="80">
        <v>2</v>
      </c>
      <c r="F324" s="80">
        <v>3</v>
      </c>
      <c r="G324" s="80">
        <v>4</v>
      </c>
      <c r="H324" s="80">
        <v>5</v>
      </c>
    </row>
    <row r="325" spans="1:8" x14ac:dyDescent="0.2">
      <c r="B325" s="80" t="s">
        <v>1855</v>
      </c>
      <c r="C325" s="80">
        <v>-1500</v>
      </c>
      <c r="D325" s="80">
        <v>0</v>
      </c>
      <c r="E325" s="80">
        <v>0</v>
      </c>
      <c r="F325" s="80">
        <v>2000</v>
      </c>
      <c r="G325" s="80">
        <v>0</v>
      </c>
      <c r="H325" s="80">
        <v>0</v>
      </c>
    </row>
    <row r="326" spans="1:8" x14ac:dyDescent="0.2">
      <c r="B326" s="80" t="s">
        <v>1856</v>
      </c>
      <c r="C326" s="80">
        <v>-2000</v>
      </c>
      <c r="D326" s="80">
        <v>600</v>
      </c>
      <c r="E326" s="80">
        <v>600</v>
      </c>
      <c r="F326" s="80">
        <v>600</v>
      </c>
      <c r="G326" s="80">
        <v>600</v>
      </c>
      <c r="H326" s="80">
        <v>600</v>
      </c>
    </row>
    <row r="328" spans="1:8" x14ac:dyDescent="0.2">
      <c r="A328" s="43" t="s">
        <v>111</v>
      </c>
    </row>
    <row r="330" spans="1:8" x14ac:dyDescent="0.2">
      <c r="A330" s="43" t="s">
        <v>2149</v>
      </c>
      <c r="C330" s="495">
        <f>NPV(10%,D325:H325)+C325</f>
        <v>2.629601803155083</v>
      </c>
    </row>
    <row r="331" spans="1:8" x14ac:dyDescent="0.2">
      <c r="A331" s="43" t="s">
        <v>2150</v>
      </c>
      <c r="C331" s="495">
        <f>NPV(10%,D326:H326)+C326</f>
        <v>274.47206164506861</v>
      </c>
    </row>
    <row r="333" spans="1:8" x14ac:dyDescent="0.2">
      <c r="A333" s="43" t="s">
        <v>2151</v>
      </c>
    </row>
    <row r="336" spans="1:8" x14ac:dyDescent="0.2">
      <c r="A336" s="45" t="s">
        <v>1877</v>
      </c>
      <c r="B336" s="45"/>
      <c r="C336" s="45"/>
      <c r="D336" s="45"/>
      <c r="E336" s="45"/>
      <c r="F336" s="45"/>
      <c r="G336" s="45"/>
      <c r="H336" s="45" t="s">
        <v>780</v>
      </c>
    </row>
    <row r="337" spans="1:8" x14ac:dyDescent="0.2">
      <c r="A337" s="43" t="s">
        <v>1878</v>
      </c>
    </row>
    <row r="338" spans="1:8" x14ac:dyDescent="0.2">
      <c r="A338" s="43" t="s">
        <v>1879</v>
      </c>
    </row>
    <row r="341" spans="1:8" x14ac:dyDescent="0.2">
      <c r="B341" s="80"/>
      <c r="C341" s="80">
        <v>0</v>
      </c>
      <c r="D341" s="80">
        <v>1</v>
      </c>
      <c r="E341" s="80">
        <v>2</v>
      </c>
      <c r="F341" s="80">
        <v>3</v>
      </c>
      <c r="G341" s="80">
        <v>4</v>
      </c>
      <c r="H341" s="80">
        <v>5</v>
      </c>
    </row>
    <row r="342" spans="1:8" x14ac:dyDescent="0.2">
      <c r="B342" s="80" t="s">
        <v>1855</v>
      </c>
      <c r="C342" s="80">
        <v>-50</v>
      </c>
      <c r="D342" s="80">
        <v>17</v>
      </c>
      <c r="E342" s="80">
        <v>17</v>
      </c>
      <c r="F342" s="80">
        <v>17</v>
      </c>
      <c r="G342" s="80">
        <v>17</v>
      </c>
      <c r="H342" s="80">
        <v>17</v>
      </c>
    </row>
    <row r="343" spans="1:8" x14ac:dyDescent="0.2">
      <c r="B343" s="80" t="s">
        <v>1856</v>
      </c>
      <c r="C343" s="80">
        <v>-32</v>
      </c>
      <c r="D343" s="80">
        <v>12</v>
      </c>
      <c r="E343" s="80">
        <v>12</v>
      </c>
      <c r="F343" s="80">
        <v>12</v>
      </c>
      <c r="G343" s="80">
        <v>12</v>
      </c>
      <c r="H343" s="80">
        <v>12</v>
      </c>
    </row>
    <row r="345" spans="1:8" x14ac:dyDescent="0.2">
      <c r="A345" s="43" t="s">
        <v>111</v>
      </c>
    </row>
    <row r="347" spans="1:8" x14ac:dyDescent="0.2">
      <c r="A347" s="43" t="s">
        <v>2149</v>
      </c>
      <c r="C347" s="495">
        <f>NPV(10%,D342:H342)+C342</f>
        <v>14.443375079943607</v>
      </c>
      <c r="D347" s="43" t="s">
        <v>2152</v>
      </c>
      <c r="E347" s="161">
        <f>IRR(C342:H342)</f>
        <v>0.20761658990335685</v>
      </c>
    </row>
    <row r="348" spans="1:8" x14ac:dyDescent="0.2">
      <c r="A348" s="43" t="s">
        <v>2150</v>
      </c>
      <c r="C348" s="495">
        <f>NPV(10%,D343:H343)+C343</f>
        <v>13.489441232901363</v>
      </c>
      <c r="D348" s="43" t="s">
        <v>2153</v>
      </c>
      <c r="E348" s="161">
        <f>IRR(C343:H343)</f>
        <v>0.25413002038866117</v>
      </c>
    </row>
    <row r="350" spans="1:8" x14ac:dyDescent="0.2">
      <c r="A350" s="43" t="s">
        <v>2154</v>
      </c>
    </row>
    <row r="351" spans="1:8" x14ac:dyDescent="0.2">
      <c r="A351" s="43" t="s">
        <v>2155</v>
      </c>
    </row>
    <row r="355" spans="1:8" x14ac:dyDescent="0.2">
      <c r="A355" s="45" t="s">
        <v>1979</v>
      </c>
      <c r="B355" s="45"/>
      <c r="C355" s="45"/>
      <c r="D355" s="45"/>
      <c r="E355" s="45"/>
      <c r="F355" s="45"/>
      <c r="G355" s="45"/>
      <c r="H355" s="45" t="s">
        <v>780</v>
      </c>
    </row>
    <row r="356" spans="1:8" x14ac:dyDescent="0.2">
      <c r="A356" s="43" t="s">
        <v>1980</v>
      </c>
    </row>
    <row r="357" spans="1:8" x14ac:dyDescent="0.2">
      <c r="A357" s="43" t="s">
        <v>1880</v>
      </c>
    </row>
    <row r="358" spans="1:8" x14ac:dyDescent="0.2">
      <c r="A358" s="43" t="s">
        <v>1881</v>
      </c>
    </row>
    <row r="359" spans="1:8" x14ac:dyDescent="0.2">
      <c r="B359" s="80"/>
      <c r="C359" s="80" t="s">
        <v>1882</v>
      </c>
      <c r="D359" s="80" t="s">
        <v>1869</v>
      </c>
      <c r="E359" s="80" t="s">
        <v>1870</v>
      </c>
    </row>
    <row r="360" spans="1:8" x14ac:dyDescent="0.2">
      <c r="B360" s="80" t="s">
        <v>1855</v>
      </c>
      <c r="C360" s="186">
        <v>-50000</v>
      </c>
      <c r="D360" s="186">
        <v>35000</v>
      </c>
      <c r="E360" s="80"/>
    </row>
    <row r="361" spans="1:8" x14ac:dyDescent="0.2">
      <c r="B361" s="80" t="s">
        <v>1856</v>
      </c>
      <c r="C361" s="186">
        <v>-150000</v>
      </c>
      <c r="D361" s="186">
        <v>114000</v>
      </c>
      <c r="E361" s="80"/>
    </row>
    <row r="362" spans="1:8" x14ac:dyDescent="0.2">
      <c r="B362" s="80" t="s">
        <v>1857</v>
      </c>
      <c r="C362" s="186">
        <v>-100000</v>
      </c>
      <c r="D362" s="186">
        <v>56000</v>
      </c>
      <c r="E362" s="80"/>
    </row>
    <row r="363" spans="1:8" x14ac:dyDescent="0.2">
      <c r="B363" s="80" t="s">
        <v>1871</v>
      </c>
      <c r="C363" s="186">
        <v>-50000</v>
      </c>
      <c r="D363" s="186">
        <v>155000</v>
      </c>
      <c r="E363" s="80"/>
    </row>
    <row r="364" spans="1:8" x14ac:dyDescent="0.2">
      <c r="B364" s="80" t="s">
        <v>1872</v>
      </c>
      <c r="C364" s="186">
        <v>-30000</v>
      </c>
      <c r="D364" s="186">
        <v>88000</v>
      </c>
      <c r="E364" s="80"/>
    </row>
    <row r="366" spans="1:8" x14ac:dyDescent="0.2">
      <c r="A366" s="43" t="s">
        <v>2161</v>
      </c>
    </row>
    <row r="367" spans="1:8" x14ac:dyDescent="0.2">
      <c r="A367" s="43" t="s">
        <v>2156</v>
      </c>
    </row>
    <row r="368" spans="1:8" x14ac:dyDescent="0.2">
      <c r="A368" s="43" t="s">
        <v>2157</v>
      </c>
    </row>
    <row r="370" spans="1:6" x14ac:dyDescent="0.2">
      <c r="B370" s="80"/>
      <c r="C370" s="80" t="s">
        <v>1882</v>
      </c>
      <c r="D370" s="80" t="s">
        <v>1869</v>
      </c>
      <c r="E370" s="80" t="s">
        <v>1870</v>
      </c>
      <c r="F370" s="80" t="s">
        <v>2158</v>
      </c>
    </row>
    <row r="371" spans="1:6" x14ac:dyDescent="0.2">
      <c r="B371" s="80" t="s">
        <v>1855</v>
      </c>
      <c r="C371" s="186">
        <v>-50000</v>
      </c>
      <c r="D371" s="186">
        <v>35000</v>
      </c>
      <c r="E371" s="252">
        <f>D371/ABS(C371)</f>
        <v>0.7</v>
      </c>
      <c r="F371" s="252">
        <f>RANK(E371,$E$371:$E$375,0)</f>
        <v>4</v>
      </c>
    </row>
    <row r="372" spans="1:6" x14ac:dyDescent="0.2">
      <c r="B372" s="80" t="s">
        <v>1856</v>
      </c>
      <c r="C372" s="186">
        <v>-150000</v>
      </c>
      <c r="D372" s="186">
        <v>114000</v>
      </c>
      <c r="E372" s="252">
        <f t="shared" ref="E372:E375" si="6">D372/ABS(C372)</f>
        <v>0.76</v>
      </c>
      <c r="F372" s="252">
        <f t="shared" ref="F372:F375" si="7">RANK(E372,$E$371:$E$375,0)</f>
        <v>3</v>
      </c>
    </row>
    <row r="373" spans="1:6" x14ac:dyDescent="0.2">
      <c r="B373" s="80" t="s">
        <v>1857</v>
      </c>
      <c r="C373" s="186">
        <v>-100000</v>
      </c>
      <c r="D373" s="186">
        <v>56000</v>
      </c>
      <c r="E373" s="252">
        <f t="shared" si="6"/>
        <v>0.56000000000000005</v>
      </c>
      <c r="F373" s="252">
        <f t="shared" si="7"/>
        <v>5</v>
      </c>
    </row>
    <row r="374" spans="1:6" x14ac:dyDescent="0.2">
      <c r="B374" s="80" t="s">
        <v>1871</v>
      </c>
      <c r="C374" s="186">
        <v>-50000</v>
      </c>
      <c r="D374" s="186">
        <v>155000</v>
      </c>
      <c r="E374" s="252">
        <f t="shared" si="6"/>
        <v>3.1</v>
      </c>
      <c r="F374" s="252">
        <f t="shared" si="7"/>
        <v>1</v>
      </c>
    </row>
    <row r="375" spans="1:6" x14ac:dyDescent="0.2">
      <c r="B375" s="80" t="s">
        <v>1872</v>
      </c>
      <c r="C375" s="186">
        <v>-30000</v>
      </c>
      <c r="D375" s="186">
        <v>88000</v>
      </c>
      <c r="E375" s="255">
        <f t="shared" si="6"/>
        <v>2.9333333333333331</v>
      </c>
      <c r="F375" s="252">
        <f t="shared" si="7"/>
        <v>2</v>
      </c>
    </row>
    <row r="377" spans="1:6" x14ac:dyDescent="0.2">
      <c r="A377" s="43" t="s">
        <v>2159</v>
      </c>
    </row>
    <row r="378" spans="1:6" x14ac:dyDescent="0.2">
      <c r="A378" s="43" t="s">
        <v>2160</v>
      </c>
    </row>
    <row r="380" spans="1:6" x14ac:dyDescent="0.2">
      <c r="A380" s="80"/>
      <c r="B380" s="80" t="s">
        <v>1870</v>
      </c>
      <c r="C380" s="231" t="s">
        <v>1969</v>
      </c>
      <c r="D380" s="231" t="s">
        <v>1970</v>
      </c>
      <c r="E380" s="231" t="s">
        <v>1971</v>
      </c>
    </row>
    <row r="381" spans="1:6" x14ac:dyDescent="0.2">
      <c r="A381" s="80" t="s">
        <v>1871</v>
      </c>
      <c r="B381" s="255">
        <f>E374</f>
        <v>3.1</v>
      </c>
      <c r="C381" s="258">
        <f>C374</f>
        <v>-50000</v>
      </c>
      <c r="D381" s="258">
        <f>320000+C381</f>
        <v>270000</v>
      </c>
      <c r="E381" s="263">
        <f>D374</f>
        <v>155000</v>
      </c>
    </row>
    <row r="382" spans="1:6" x14ac:dyDescent="0.2">
      <c r="A382" s="80" t="str">
        <f>B375</f>
        <v>E</v>
      </c>
      <c r="B382" s="255">
        <f>E375</f>
        <v>2.9333333333333331</v>
      </c>
      <c r="C382" s="258">
        <f>C375</f>
        <v>-30000</v>
      </c>
      <c r="D382" s="258">
        <f>D381+C382</f>
        <v>240000</v>
      </c>
      <c r="E382" s="263">
        <f>D375</f>
        <v>88000</v>
      </c>
    </row>
    <row r="383" spans="1:6" x14ac:dyDescent="0.2">
      <c r="A383" s="80" t="str">
        <f>B372</f>
        <v>B</v>
      </c>
      <c r="B383" s="255">
        <f>E372</f>
        <v>0.76</v>
      </c>
      <c r="C383" s="258">
        <f>C372</f>
        <v>-150000</v>
      </c>
      <c r="D383" s="258">
        <f t="shared" ref="D383:D384" si="8">D382+C383</f>
        <v>90000</v>
      </c>
      <c r="E383" s="263">
        <f>D372</f>
        <v>114000</v>
      </c>
    </row>
    <row r="384" spans="1:6" x14ac:dyDescent="0.2">
      <c r="A384" s="80" t="s">
        <v>1855</v>
      </c>
      <c r="B384" s="255">
        <f>E371</f>
        <v>0.7</v>
      </c>
      <c r="C384" s="258">
        <f>C371</f>
        <v>-50000</v>
      </c>
      <c r="D384" s="258">
        <f t="shared" si="8"/>
        <v>40000</v>
      </c>
      <c r="E384" s="263">
        <f>D371</f>
        <v>35000</v>
      </c>
    </row>
    <row r="385" spans="1:8" x14ac:dyDescent="0.2">
      <c r="A385" s="80" t="s">
        <v>1857</v>
      </c>
      <c r="B385" s="255">
        <f>E373</f>
        <v>0.56000000000000005</v>
      </c>
      <c r="C385" s="259">
        <f>-D384</f>
        <v>-40000</v>
      </c>
      <c r="D385" s="258">
        <f>D384+C385</f>
        <v>0</v>
      </c>
      <c r="E385" s="263">
        <f>D373*D384/-C373</f>
        <v>22400</v>
      </c>
      <c r="H385" s="43" t="s">
        <v>1981</v>
      </c>
    </row>
    <row r="386" spans="1:8" x14ac:dyDescent="0.2">
      <c r="A386" s="47"/>
      <c r="B386" s="228"/>
      <c r="C386" s="260"/>
      <c r="D386" s="261"/>
      <c r="E386" s="262"/>
    </row>
    <row r="387" spans="1:8" x14ac:dyDescent="0.2">
      <c r="A387" s="256"/>
      <c r="B387" s="256"/>
      <c r="C387" s="29" t="s">
        <v>1973</v>
      </c>
      <c r="D387" s="29"/>
      <c r="E387" s="264">
        <f>SUM(E381:E385)</f>
        <v>414400</v>
      </c>
    </row>
    <row r="389" spans="1:8" x14ac:dyDescent="0.2">
      <c r="A389" s="45" t="s">
        <v>2162</v>
      </c>
      <c r="B389" s="45"/>
      <c r="C389" s="45"/>
      <c r="D389" s="45"/>
      <c r="E389" s="45"/>
      <c r="F389" s="45"/>
      <c r="G389" s="45"/>
      <c r="H389" s="45" t="s">
        <v>780</v>
      </c>
    </row>
    <row r="390" spans="1:8" x14ac:dyDescent="0.2">
      <c r="A390" s="43" t="s">
        <v>1883</v>
      </c>
    </row>
    <row r="392" spans="1:8" x14ac:dyDescent="0.2">
      <c r="F392" s="47" t="s">
        <v>2183</v>
      </c>
      <c r="G392" s="47" t="s">
        <v>2183</v>
      </c>
      <c r="H392" s="47" t="s">
        <v>2187</v>
      </c>
    </row>
    <row r="393" spans="1:8" x14ac:dyDescent="0.2">
      <c r="F393" s="47" t="s">
        <v>2184</v>
      </c>
      <c r="G393" s="47" t="s">
        <v>2186</v>
      </c>
      <c r="H393" s="47" t="s">
        <v>1969</v>
      </c>
    </row>
    <row r="394" spans="1:8" x14ac:dyDescent="0.2">
      <c r="B394" s="80"/>
      <c r="C394" s="80">
        <v>0</v>
      </c>
      <c r="D394" s="80">
        <v>1</v>
      </c>
      <c r="E394" s="80">
        <v>2</v>
      </c>
      <c r="F394" s="500" t="s">
        <v>2185</v>
      </c>
      <c r="G394" s="49" t="s">
        <v>1863</v>
      </c>
      <c r="H394" s="49" t="s">
        <v>2188</v>
      </c>
    </row>
    <row r="395" spans="1:8" x14ac:dyDescent="0.2">
      <c r="B395" s="80" t="s">
        <v>1855</v>
      </c>
      <c r="C395" s="80">
        <v>-200</v>
      </c>
      <c r="D395" s="80">
        <v>100</v>
      </c>
      <c r="E395" s="80">
        <v>200</v>
      </c>
      <c r="F395" s="501">
        <f>SUM(C395:E395)</f>
        <v>100</v>
      </c>
      <c r="G395" s="502">
        <f>IRR(C395:E395)</f>
        <v>0.28077640640441492</v>
      </c>
      <c r="H395" s="501">
        <f>C395</f>
        <v>-200</v>
      </c>
    </row>
    <row r="396" spans="1:8" x14ac:dyDescent="0.2">
      <c r="B396" s="80" t="s">
        <v>1856</v>
      </c>
      <c r="C396" s="80">
        <v>-100</v>
      </c>
      <c r="D396" s="80">
        <v>80</v>
      </c>
      <c r="E396" s="80">
        <v>120</v>
      </c>
      <c r="F396" s="121">
        <f>SUM(C396:E396)</f>
        <v>100</v>
      </c>
      <c r="G396" s="503">
        <f>IRR(C396:E396)</f>
        <v>0.56619037896242497</v>
      </c>
      <c r="H396" s="121">
        <f>C396</f>
        <v>-100</v>
      </c>
    </row>
    <row r="398" spans="1:8" x14ac:dyDescent="0.2">
      <c r="A398" s="43" t="s">
        <v>1884</v>
      </c>
    </row>
    <row r="411" spans="1:1" x14ac:dyDescent="0.2">
      <c r="A411" s="79" t="s">
        <v>1982</v>
      </c>
    </row>
    <row r="413" spans="1:1" x14ac:dyDescent="0.2">
      <c r="A413" s="267" t="s">
        <v>1983</v>
      </c>
    </row>
    <row r="417" spans="1:8" x14ac:dyDescent="0.2">
      <c r="A417" s="43" t="s">
        <v>1984</v>
      </c>
    </row>
    <row r="418" spans="1:8" x14ac:dyDescent="0.2">
      <c r="B418" s="80"/>
      <c r="C418" s="80">
        <v>0</v>
      </c>
      <c r="D418" s="80">
        <v>1</v>
      </c>
      <c r="E418" s="80">
        <v>2</v>
      </c>
      <c r="F418" s="81" t="s">
        <v>1985</v>
      </c>
      <c r="G418" s="81" t="s">
        <v>1863</v>
      </c>
      <c r="H418" s="81" t="s">
        <v>1986</v>
      </c>
    </row>
    <row r="419" spans="1:8" x14ac:dyDescent="0.2">
      <c r="B419" s="266" t="s">
        <v>1855</v>
      </c>
      <c r="C419" s="80">
        <v>-200</v>
      </c>
      <c r="D419" s="80">
        <v>100</v>
      </c>
      <c r="E419" s="80">
        <v>200</v>
      </c>
      <c r="F419" s="81">
        <f>SUM(C419:E419)</f>
        <v>100</v>
      </c>
      <c r="G419" s="265">
        <f>IRR(C419:E419)</f>
        <v>0.28077640640441492</v>
      </c>
      <c r="H419" s="81">
        <f>C419</f>
        <v>-200</v>
      </c>
    </row>
    <row r="420" spans="1:8" x14ac:dyDescent="0.2">
      <c r="B420" s="254" t="s">
        <v>1856</v>
      </c>
      <c r="C420" s="80">
        <v>-100</v>
      </c>
      <c r="D420" s="80">
        <v>80</v>
      </c>
      <c r="E420" s="80">
        <v>120</v>
      </c>
      <c r="F420" s="81">
        <f>SUM(C420:E420)</f>
        <v>100</v>
      </c>
      <c r="G420" s="265">
        <f>IRR(C420:E420)</f>
        <v>0.56619037896242497</v>
      </c>
      <c r="H420" s="81">
        <f>C420</f>
        <v>-100</v>
      </c>
    </row>
    <row r="423" spans="1:8" x14ac:dyDescent="0.2">
      <c r="A423" s="43" t="s">
        <v>1985</v>
      </c>
      <c r="B423" s="43" t="s">
        <v>1987</v>
      </c>
    </row>
    <row r="424" spans="1:8" x14ac:dyDescent="0.2">
      <c r="A424" s="43" t="s">
        <v>1863</v>
      </c>
      <c r="B424" s="43" t="s">
        <v>1988</v>
      </c>
    </row>
    <row r="425" spans="1:8" x14ac:dyDescent="0.2">
      <c r="A425" s="43" t="s">
        <v>1986</v>
      </c>
      <c r="B425" s="43" t="s">
        <v>1989</v>
      </c>
    </row>
    <row r="427" spans="1:8" x14ac:dyDescent="0.2">
      <c r="A427" s="44" t="s">
        <v>2189</v>
      </c>
      <c r="B427" s="44"/>
      <c r="C427" s="44"/>
      <c r="D427" s="44"/>
      <c r="E427" s="44"/>
      <c r="F427" s="44"/>
      <c r="G427" s="44"/>
      <c r="H427" s="44"/>
    </row>
    <row r="428" spans="1:8" x14ac:dyDescent="0.2">
      <c r="A428" s="44" t="s">
        <v>1990</v>
      </c>
      <c r="B428" s="44"/>
      <c r="C428" s="44"/>
      <c r="D428" s="44"/>
      <c r="E428" s="44"/>
      <c r="F428" s="44"/>
      <c r="G428" s="44"/>
      <c r="H428" s="44"/>
    </row>
    <row r="430" spans="1:8" x14ac:dyDescent="0.2">
      <c r="A430" s="45" t="s">
        <v>3302</v>
      </c>
      <c r="B430" s="45"/>
      <c r="C430" s="45"/>
      <c r="D430" s="45"/>
      <c r="E430" s="45"/>
      <c r="F430" s="45"/>
      <c r="G430" s="45"/>
      <c r="H430" s="45"/>
    </row>
    <row r="431" spans="1:8" x14ac:dyDescent="0.2">
      <c r="A431" s="43" t="s">
        <v>3303</v>
      </c>
    </row>
    <row r="432" spans="1:8" x14ac:dyDescent="0.2">
      <c r="A432" s="43" t="s">
        <v>3304</v>
      </c>
    </row>
    <row r="433" spans="1:9" x14ac:dyDescent="0.2">
      <c r="A433" s="43" t="s">
        <v>3305</v>
      </c>
    </row>
    <row r="434" spans="1:9" x14ac:dyDescent="0.2">
      <c r="A434" s="43" t="s">
        <v>3306</v>
      </c>
    </row>
    <row r="436" spans="1:9" x14ac:dyDescent="0.2">
      <c r="A436" s="43" t="s">
        <v>3307</v>
      </c>
    </row>
    <row r="438" spans="1:9" x14ac:dyDescent="0.2">
      <c r="D438" s="49" t="s">
        <v>2165</v>
      </c>
      <c r="E438" s="49" t="s">
        <v>2166</v>
      </c>
      <c r="F438" s="49" t="s">
        <v>2167</v>
      </c>
      <c r="G438" s="49" t="s">
        <v>2168</v>
      </c>
      <c r="H438" s="49" t="s">
        <v>2169</v>
      </c>
    </row>
    <row r="439" spans="1:9" x14ac:dyDescent="0.2">
      <c r="B439" s="43" t="s">
        <v>2163</v>
      </c>
      <c r="D439" s="47">
        <v>-1000</v>
      </c>
      <c r="E439" s="47">
        <v>350</v>
      </c>
      <c r="F439" s="47">
        <f>E439</f>
        <v>350</v>
      </c>
      <c r="G439" s="47">
        <f>F439</f>
        <v>350</v>
      </c>
      <c r="H439" s="47">
        <f>G439</f>
        <v>350</v>
      </c>
    </row>
    <row r="440" spans="1:9" x14ac:dyDescent="0.2">
      <c r="B440" s="43" t="s">
        <v>2164</v>
      </c>
      <c r="D440" s="47">
        <v>-4000</v>
      </c>
      <c r="E440" s="47">
        <v>1300</v>
      </c>
      <c r="F440" s="47">
        <v>1300</v>
      </c>
      <c r="G440" s="47">
        <v>1300</v>
      </c>
      <c r="H440" s="47">
        <v>1300</v>
      </c>
    </row>
    <row r="442" spans="1:9" x14ac:dyDescent="0.2">
      <c r="A442" s="43" t="s">
        <v>321</v>
      </c>
    </row>
    <row r="443" spans="1:9" x14ac:dyDescent="0.2">
      <c r="A443" s="43" t="s">
        <v>3308</v>
      </c>
    </row>
    <row r="444" spans="1:9" x14ac:dyDescent="0.2">
      <c r="A444" s="43" t="s">
        <v>2170</v>
      </c>
    </row>
    <row r="445" spans="1:9" x14ac:dyDescent="0.2">
      <c r="I445" s="43" t="s">
        <v>1869</v>
      </c>
    </row>
    <row r="446" spans="1:9" x14ac:dyDescent="0.2">
      <c r="A446" s="43" t="s">
        <v>111</v>
      </c>
    </row>
    <row r="448" spans="1:9" x14ac:dyDescent="0.2">
      <c r="A448" s="43" t="s">
        <v>2174</v>
      </c>
    </row>
    <row r="449" spans="1:13" x14ac:dyDescent="0.2">
      <c r="F449" s="43" t="s">
        <v>3315</v>
      </c>
    </row>
    <row r="450" spans="1:13" x14ac:dyDescent="0.2">
      <c r="D450" s="498" t="s">
        <v>611</v>
      </c>
      <c r="E450" s="681" t="s">
        <v>610</v>
      </c>
      <c r="F450" s="59" t="s">
        <v>2175</v>
      </c>
    </row>
    <row r="451" spans="1:13" x14ac:dyDescent="0.2">
      <c r="C451" s="43">
        <v>0</v>
      </c>
      <c r="D451" s="680">
        <f>D439</f>
        <v>-1000</v>
      </c>
      <c r="E451" s="682">
        <f>D440</f>
        <v>-4000</v>
      </c>
      <c r="F451" s="43">
        <f>E451-D451</f>
        <v>-3000</v>
      </c>
    </row>
    <row r="452" spans="1:13" x14ac:dyDescent="0.2">
      <c r="C452" s="43">
        <v>1</v>
      </c>
      <c r="D452" s="680">
        <f>E439</f>
        <v>350</v>
      </c>
      <c r="E452" s="682">
        <f>E440</f>
        <v>1300</v>
      </c>
      <c r="F452" s="43">
        <f t="shared" ref="F452:F455" si="9">E452-D452</f>
        <v>950</v>
      </c>
      <c r="G452" s="55"/>
    </row>
    <row r="453" spans="1:13" x14ac:dyDescent="0.2">
      <c r="C453" s="43">
        <v>2</v>
      </c>
      <c r="D453" s="680">
        <f t="shared" ref="D453:E455" si="10">D452</f>
        <v>350</v>
      </c>
      <c r="E453" s="682">
        <f t="shared" si="10"/>
        <v>1300</v>
      </c>
      <c r="F453" s="43">
        <f t="shared" si="9"/>
        <v>950</v>
      </c>
    </row>
    <row r="454" spans="1:13" x14ac:dyDescent="0.2">
      <c r="C454" s="43">
        <v>3</v>
      </c>
      <c r="D454" s="680">
        <f t="shared" si="10"/>
        <v>350</v>
      </c>
      <c r="E454" s="682">
        <f t="shared" si="10"/>
        <v>1300</v>
      </c>
      <c r="F454" s="43">
        <f t="shared" si="9"/>
        <v>950</v>
      </c>
    </row>
    <row r="455" spans="1:13" x14ac:dyDescent="0.2">
      <c r="C455" s="43">
        <v>4</v>
      </c>
      <c r="D455" s="680">
        <f t="shared" si="10"/>
        <v>350</v>
      </c>
      <c r="E455" s="682">
        <f t="shared" si="10"/>
        <v>1300</v>
      </c>
      <c r="F455" s="43">
        <f t="shared" si="9"/>
        <v>950</v>
      </c>
      <c r="G455" s="496" t="s">
        <v>87</v>
      </c>
    </row>
    <row r="457" spans="1:13" x14ac:dyDescent="0.2">
      <c r="A457" s="43" t="s">
        <v>3309</v>
      </c>
      <c r="C457" s="43" t="s">
        <v>2173</v>
      </c>
      <c r="D457" s="43">
        <f>D451</f>
        <v>-1000</v>
      </c>
      <c r="E457" s="43">
        <f>E451</f>
        <v>-4000</v>
      </c>
      <c r="F457" s="43">
        <f>F451</f>
        <v>-3000</v>
      </c>
      <c r="G457" s="497" t="s">
        <v>1949</v>
      </c>
      <c r="L457" s="43" t="s">
        <v>3310</v>
      </c>
    </row>
    <row r="458" spans="1:13" x14ac:dyDescent="0.2">
      <c r="A458" s="43" t="s">
        <v>3311</v>
      </c>
      <c r="C458" s="43" t="s">
        <v>2171</v>
      </c>
      <c r="D458" s="161">
        <f>IRR(D451:D455)</f>
        <v>0.14962544030288161</v>
      </c>
      <c r="E458" s="161">
        <f>IRR(E451:E455)</f>
        <v>0.11387927806507081</v>
      </c>
      <c r="F458" s="205">
        <f>IRR(F451:F455)</f>
        <v>0.10174996002130543</v>
      </c>
    </row>
    <row r="459" spans="1:13" x14ac:dyDescent="0.2">
      <c r="A459" s="407" t="s">
        <v>3312</v>
      </c>
      <c r="C459" s="43" t="s">
        <v>2172</v>
      </c>
      <c r="D459" s="43">
        <f>SUM(D451:D455)</f>
        <v>400</v>
      </c>
      <c r="E459" s="43">
        <f>SUM(E451:E455)</f>
        <v>1200</v>
      </c>
      <c r="F459" s="43">
        <f>SUM(F451:F455)</f>
        <v>800</v>
      </c>
      <c r="G459" s="496" t="s">
        <v>1950</v>
      </c>
      <c r="L459" s="43" t="s">
        <v>3313</v>
      </c>
    </row>
    <row r="460" spans="1:13" x14ac:dyDescent="0.2">
      <c r="M460" s="43" t="s">
        <v>3314</v>
      </c>
    </row>
    <row r="461" spans="1:13" x14ac:dyDescent="0.2">
      <c r="A461" s="43" t="s">
        <v>2176</v>
      </c>
    </row>
    <row r="462" spans="1:13" x14ac:dyDescent="0.2">
      <c r="A462" s="43" t="s">
        <v>2177</v>
      </c>
    </row>
    <row r="463" spans="1:13" x14ac:dyDescent="0.2">
      <c r="A463" s="43" t="s">
        <v>2178</v>
      </c>
    </row>
    <row r="464" spans="1:13" x14ac:dyDescent="0.2">
      <c r="A464" s="43" t="s">
        <v>2179</v>
      </c>
    </row>
    <row r="465" spans="1:1" x14ac:dyDescent="0.2">
      <c r="A465" s="43" t="s">
        <v>2180</v>
      </c>
    </row>
    <row r="467" spans="1:1" x14ac:dyDescent="0.2">
      <c r="A467" s="44" t="s">
        <v>3316</v>
      </c>
    </row>
    <row r="468" spans="1:1" x14ac:dyDescent="0.2">
      <c r="A468" s="44" t="s">
        <v>3317</v>
      </c>
    </row>
    <row r="470" spans="1:1" x14ac:dyDescent="0.2">
      <c r="A470" s="43" t="s">
        <v>3318</v>
      </c>
    </row>
  </sheetData>
  <mergeCells count="2">
    <mergeCell ref="A1:H1"/>
    <mergeCell ref="L278:R2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847"/>
  <sheetViews>
    <sheetView rightToLeft="1" tabSelected="1" topLeftCell="A720" zoomScale="200" zoomScaleNormal="200" workbookViewId="0">
      <selection activeCell="K787" sqref="K787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4" width="8.83203125" style="43"/>
    <col min="15" max="15" width="10" style="43" customWidth="1"/>
    <col min="16" max="16384" width="8.83203125" style="43"/>
  </cols>
  <sheetData>
    <row r="1" spans="1:8" ht="19" thickBot="1" x14ac:dyDescent="0.25">
      <c r="A1" s="727" t="s">
        <v>3412</v>
      </c>
      <c r="B1" s="727"/>
      <c r="C1" s="727"/>
      <c r="D1" s="727"/>
      <c r="E1" s="727"/>
      <c r="F1" s="727"/>
      <c r="G1" s="727"/>
      <c r="H1" s="727"/>
    </row>
    <row r="2" spans="1:8" x14ac:dyDescent="0.2">
      <c r="A2" s="211" t="s">
        <v>1995</v>
      </c>
      <c r="B2" s="212"/>
      <c r="C2" s="212"/>
      <c r="D2" s="212"/>
      <c r="E2" s="212"/>
      <c r="F2" s="212"/>
      <c r="G2" s="212"/>
      <c r="H2" s="213"/>
    </row>
    <row r="3" spans="1:8" x14ac:dyDescent="0.2">
      <c r="A3" s="276" t="s">
        <v>1996</v>
      </c>
      <c r="H3" s="215"/>
    </row>
    <row r="4" spans="1:8" x14ac:dyDescent="0.2">
      <c r="A4" s="276" t="s">
        <v>1997</v>
      </c>
      <c r="H4" s="215"/>
    </row>
    <row r="5" spans="1:8" x14ac:dyDescent="0.2">
      <c r="A5" s="276" t="s">
        <v>1998</v>
      </c>
      <c r="H5" s="215"/>
    </row>
    <row r="6" spans="1:8" x14ac:dyDescent="0.2">
      <c r="A6" s="276" t="s">
        <v>1999</v>
      </c>
      <c r="H6" s="215"/>
    </row>
    <row r="7" spans="1:8" ht="16" thickBot="1" x14ac:dyDescent="0.25">
      <c r="A7" s="234" t="s">
        <v>2000</v>
      </c>
      <c r="B7" s="217"/>
      <c r="C7" s="217"/>
      <c r="D7" s="217"/>
      <c r="E7" s="217"/>
      <c r="F7" s="217"/>
      <c r="G7" s="217"/>
      <c r="H7" s="218"/>
    </row>
    <row r="8" spans="1:8" ht="16" thickBot="1" x14ac:dyDescent="0.25"/>
    <row r="9" spans="1:8" x14ac:dyDescent="0.2">
      <c r="A9" s="211" t="s">
        <v>2001</v>
      </c>
      <c r="B9" s="212"/>
      <c r="C9" s="212"/>
      <c r="D9" s="212"/>
      <c r="E9" s="212"/>
      <c r="F9" s="212"/>
      <c r="G9" s="212"/>
      <c r="H9" s="213"/>
    </row>
    <row r="10" spans="1:8" x14ac:dyDescent="0.2">
      <c r="A10" s="276" t="s">
        <v>2197</v>
      </c>
      <c r="H10" s="215"/>
    </row>
    <row r="11" spans="1:8" x14ac:dyDescent="0.2">
      <c r="A11" s="276" t="s">
        <v>2002</v>
      </c>
      <c r="H11" s="215"/>
    </row>
    <row r="12" spans="1:8" x14ac:dyDescent="0.2">
      <c r="A12" s="276"/>
      <c r="H12" s="215"/>
    </row>
    <row r="13" spans="1:8" x14ac:dyDescent="0.2">
      <c r="A13" s="276" t="s">
        <v>2195</v>
      </c>
      <c r="H13" s="215"/>
    </row>
    <row r="14" spans="1:8" x14ac:dyDescent="0.2">
      <c r="A14" s="214" t="s">
        <v>2194</v>
      </c>
      <c r="H14" s="215"/>
    </row>
    <row r="15" spans="1:8" x14ac:dyDescent="0.2">
      <c r="A15" s="276" t="s">
        <v>2196</v>
      </c>
      <c r="H15" s="215"/>
    </row>
    <row r="16" spans="1:8" ht="16" thickBot="1" x14ac:dyDescent="0.25">
      <c r="A16" s="234" t="s">
        <v>2198</v>
      </c>
      <c r="B16" s="217"/>
      <c r="C16" s="217"/>
      <c r="D16" s="217"/>
      <c r="E16" s="217"/>
      <c r="F16" s="217"/>
      <c r="G16" s="217"/>
      <c r="H16" s="218"/>
    </row>
    <row r="17" spans="1:18" ht="16" thickBot="1" x14ac:dyDescent="0.25"/>
    <row r="18" spans="1:18" x14ac:dyDescent="0.2">
      <c r="A18" s="211" t="s">
        <v>2003</v>
      </c>
      <c r="B18" s="212"/>
      <c r="C18" s="212"/>
      <c r="D18" s="212"/>
      <c r="E18" s="212"/>
      <c r="F18" s="212"/>
      <c r="G18" s="212"/>
      <c r="H18" s="213"/>
    </row>
    <row r="19" spans="1:18" x14ac:dyDescent="0.2">
      <c r="A19" s="276" t="s">
        <v>2004</v>
      </c>
      <c r="H19" s="215"/>
    </row>
    <row r="20" spans="1:18" x14ac:dyDescent="0.2">
      <c r="A20" s="276" t="s">
        <v>2005</v>
      </c>
      <c r="H20" s="215"/>
    </row>
    <row r="21" spans="1:18" x14ac:dyDescent="0.2">
      <c r="A21" s="276" t="s">
        <v>2006</v>
      </c>
      <c r="H21" s="215"/>
    </row>
    <row r="22" spans="1:18" ht="16" thickBot="1" x14ac:dyDescent="0.25">
      <c r="A22" s="234" t="s">
        <v>2193</v>
      </c>
      <c r="B22" s="217"/>
      <c r="C22" s="217"/>
      <c r="D22" s="217"/>
      <c r="E22" s="217"/>
      <c r="F22" s="217"/>
      <c r="G22" s="217"/>
      <c r="H22" s="218"/>
    </row>
    <row r="24" spans="1:18" x14ac:dyDescent="0.2">
      <c r="A24" s="688" t="s">
        <v>3333</v>
      </c>
      <c r="B24" s="689"/>
      <c r="C24" s="689"/>
      <c r="D24" s="689"/>
      <c r="E24" s="45" t="s">
        <v>3411</v>
      </c>
      <c r="F24" s="46"/>
      <c r="G24" s="46"/>
      <c r="H24" s="46"/>
    </row>
    <row r="26" spans="1:18" x14ac:dyDescent="0.2">
      <c r="A26" s="690" t="s">
        <v>3368</v>
      </c>
      <c r="B26" s="690"/>
      <c r="C26" s="690"/>
      <c r="D26" s="690"/>
      <c r="E26" s="690"/>
      <c r="F26" s="690"/>
      <c r="G26" s="690"/>
      <c r="H26" s="690"/>
      <c r="I26" s="690"/>
      <c r="J26" s="690"/>
      <c r="K26" s="690"/>
      <c r="L26" s="690"/>
      <c r="M26" s="690"/>
      <c r="N26" s="690"/>
      <c r="O26" s="690"/>
      <c r="P26" s="690"/>
      <c r="Q26" s="690"/>
      <c r="R26" s="690"/>
    </row>
    <row r="27" spans="1:18" x14ac:dyDescent="0.2">
      <c r="A27" s="43" t="s">
        <v>3335</v>
      </c>
      <c r="B27" s="43" t="s">
        <v>3334</v>
      </c>
      <c r="F27" s="43" t="s">
        <v>3336</v>
      </c>
      <c r="L27" s="43" t="s">
        <v>3337</v>
      </c>
      <c r="N27" s="43" t="s">
        <v>3340</v>
      </c>
    </row>
    <row r="28" spans="1:18" x14ac:dyDescent="0.2">
      <c r="A28" s="43">
        <v>1</v>
      </c>
      <c r="B28" s="43" t="s">
        <v>3338</v>
      </c>
      <c r="F28" s="43" t="s">
        <v>3349</v>
      </c>
      <c r="L28" s="43" t="s">
        <v>3339</v>
      </c>
      <c r="N28" s="43" t="s">
        <v>3341</v>
      </c>
    </row>
    <row r="29" spans="1:18" x14ac:dyDescent="0.2">
      <c r="A29" s="43">
        <v>2</v>
      </c>
      <c r="B29" s="43" t="s">
        <v>3342</v>
      </c>
      <c r="F29" s="43" t="s">
        <v>3350</v>
      </c>
      <c r="L29" s="43" t="s">
        <v>3345</v>
      </c>
      <c r="N29" s="43" t="s">
        <v>3346</v>
      </c>
    </row>
    <row r="30" spans="1:18" x14ac:dyDescent="0.2">
      <c r="F30" s="43" t="s">
        <v>3343</v>
      </c>
    </row>
    <row r="31" spans="1:18" x14ac:dyDescent="0.2">
      <c r="F31" s="43" t="s">
        <v>3344</v>
      </c>
    </row>
    <row r="32" spans="1:18" x14ac:dyDescent="0.2">
      <c r="A32" s="43">
        <v>3</v>
      </c>
      <c r="B32" s="43" t="s">
        <v>3347</v>
      </c>
      <c r="F32" s="43" t="s">
        <v>3351</v>
      </c>
      <c r="L32" s="43" t="s">
        <v>3353</v>
      </c>
      <c r="N32" s="43" t="s">
        <v>3354</v>
      </c>
    </row>
    <row r="33" spans="1:18" x14ac:dyDescent="0.2">
      <c r="B33" s="43" t="s">
        <v>3348</v>
      </c>
      <c r="F33" s="43" t="s">
        <v>3352</v>
      </c>
      <c r="N33" s="43" t="s">
        <v>3355</v>
      </c>
    </row>
    <row r="34" spans="1:18" x14ac:dyDescent="0.2">
      <c r="N34" s="43" t="s">
        <v>3356</v>
      </c>
    </row>
    <row r="35" spans="1:18" x14ac:dyDescent="0.2">
      <c r="A35" s="43">
        <v>4</v>
      </c>
      <c r="B35" s="43" t="s">
        <v>3357</v>
      </c>
      <c r="F35" s="43" t="s">
        <v>3359</v>
      </c>
      <c r="L35" s="43" t="s">
        <v>3360</v>
      </c>
      <c r="N35" s="43" t="s">
        <v>3361</v>
      </c>
    </row>
    <row r="36" spans="1:18" x14ac:dyDescent="0.2">
      <c r="F36" s="43" t="s">
        <v>3358</v>
      </c>
    </row>
    <row r="37" spans="1:18" x14ac:dyDescent="0.2">
      <c r="A37" s="43">
        <v>5</v>
      </c>
      <c r="B37" s="43" t="s">
        <v>3362</v>
      </c>
      <c r="F37" s="43" t="s">
        <v>3363</v>
      </c>
      <c r="L37" s="43" t="s">
        <v>3367</v>
      </c>
    </row>
    <row r="38" spans="1:18" x14ac:dyDescent="0.2">
      <c r="F38" s="43" t="s">
        <v>3364</v>
      </c>
    </row>
    <row r="39" spans="1:18" x14ac:dyDescent="0.2">
      <c r="F39" s="43" t="s">
        <v>3365</v>
      </c>
    </row>
    <row r="40" spans="1:18" x14ac:dyDescent="0.2">
      <c r="F40" s="43" t="s">
        <v>3366</v>
      </c>
    </row>
    <row r="42" spans="1:18" x14ac:dyDescent="0.2">
      <c r="A42" s="690" t="s">
        <v>3369</v>
      </c>
      <c r="B42" s="690"/>
      <c r="C42" s="690"/>
      <c r="D42" s="690"/>
      <c r="E42" s="690"/>
      <c r="F42" s="690"/>
      <c r="G42" s="690"/>
      <c r="H42" s="690"/>
      <c r="I42" s="690"/>
      <c r="J42" s="690"/>
      <c r="K42" s="690"/>
      <c r="L42" s="690"/>
      <c r="M42" s="690"/>
      <c r="N42" s="690"/>
      <c r="O42" s="690"/>
      <c r="P42" s="690"/>
      <c r="Q42" s="690"/>
      <c r="R42" s="690"/>
    </row>
    <row r="43" spans="1:18" x14ac:dyDescent="0.2">
      <c r="A43" s="43">
        <v>6</v>
      </c>
      <c r="B43" s="43" t="s">
        <v>3370</v>
      </c>
      <c r="F43" s="43" t="s">
        <v>3371</v>
      </c>
      <c r="L43" s="43" t="s">
        <v>3373</v>
      </c>
    </row>
    <row r="44" spans="1:18" x14ac:dyDescent="0.2">
      <c r="F44" s="43" t="s">
        <v>3372</v>
      </c>
      <c r="L44" s="43" t="s">
        <v>3374</v>
      </c>
    </row>
    <row r="45" spans="1:18" x14ac:dyDescent="0.2">
      <c r="L45" s="43" t="s">
        <v>3375</v>
      </c>
    </row>
    <row r="46" spans="1:18" x14ac:dyDescent="0.2">
      <c r="L46" s="43" t="s">
        <v>3376</v>
      </c>
    </row>
    <row r="48" spans="1:18" x14ac:dyDescent="0.2">
      <c r="A48" s="690" t="s">
        <v>3377</v>
      </c>
      <c r="B48" s="690"/>
      <c r="C48" s="690"/>
      <c r="D48" s="690"/>
      <c r="E48" s="690"/>
      <c r="F48" s="690"/>
      <c r="G48" s="690"/>
      <c r="H48" s="690"/>
      <c r="I48" s="690"/>
      <c r="J48" s="690"/>
      <c r="K48" s="690"/>
      <c r="L48" s="690"/>
      <c r="M48" s="690"/>
      <c r="N48" s="690"/>
      <c r="O48" s="690"/>
      <c r="P48" s="690"/>
      <c r="Q48" s="690"/>
      <c r="R48" s="690"/>
    </row>
    <row r="49" spans="1:18" x14ac:dyDescent="0.2">
      <c r="A49" s="43">
        <v>7</v>
      </c>
      <c r="B49" s="43" t="s">
        <v>3378</v>
      </c>
      <c r="F49" s="43" t="s">
        <v>3381</v>
      </c>
      <c r="L49" s="43" t="s">
        <v>3384</v>
      </c>
      <c r="N49" s="43" t="s">
        <v>3385</v>
      </c>
    </row>
    <row r="50" spans="1:18" x14ac:dyDescent="0.2">
      <c r="B50" s="43" t="s">
        <v>3379</v>
      </c>
      <c r="F50" s="43" t="s">
        <v>3382</v>
      </c>
      <c r="N50" s="43" t="s">
        <v>3386</v>
      </c>
    </row>
    <row r="51" spans="1:18" x14ac:dyDescent="0.2">
      <c r="B51" s="43" t="s">
        <v>3380</v>
      </c>
      <c r="F51" s="43" t="s">
        <v>3383</v>
      </c>
      <c r="N51" s="43" t="s">
        <v>3387</v>
      </c>
    </row>
    <row r="53" spans="1:18" x14ac:dyDescent="0.2">
      <c r="A53" s="688" t="s">
        <v>3388</v>
      </c>
      <c r="B53" s="689"/>
      <c r="C53" s="689"/>
      <c r="D53" s="689"/>
      <c r="E53" s="689"/>
      <c r="F53" s="689"/>
      <c r="G53" s="689"/>
      <c r="H53" s="689"/>
    </row>
    <row r="55" spans="1:18" x14ac:dyDescent="0.2">
      <c r="A55" s="43" t="s">
        <v>3389</v>
      </c>
      <c r="M55" s="43" t="s">
        <v>3393</v>
      </c>
      <c r="O55" s="151">
        <f>1/(1-10%)-1</f>
        <v>0.11111111111111116</v>
      </c>
      <c r="R55" s="43" t="str">
        <f ca="1">_xlfn.FORMULATEXT(O55)</f>
        <v>=1/(1-10%)-1</v>
      </c>
    </row>
    <row r="56" spans="1:18" x14ac:dyDescent="0.2">
      <c r="A56" s="43" t="s">
        <v>3390</v>
      </c>
      <c r="M56" s="43" t="s">
        <v>3394</v>
      </c>
      <c r="O56" s="151">
        <f>(1+12%/12)^6-1</f>
        <v>6.1520150601000134E-2</v>
      </c>
      <c r="R56" s="43" t="str">
        <f ca="1">_xlfn.FORMULATEXT(O56)</f>
        <v>=(1+12%/12)^6-1</v>
      </c>
    </row>
    <row r="57" spans="1:18" x14ac:dyDescent="0.2">
      <c r="A57" s="43" t="s">
        <v>3395</v>
      </c>
      <c r="M57" s="43" t="s">
        <v>3393</v>
      </c>
      <c r="O57" s="151">
        <f>1/(1-5%)-1</f>
        <v>5.2631578947368363E-2</v>
      </c>
      <c r="R57" s="43" t="str">
        <f ca="1">_xlfn.FORMULATEXT(O57)</f>
        <v>=1/(1-5%)-1</v>
      </c>
    </row>
    <row r="58" spans="1:18" x14ac:dyDescent="0.2">
      <c r="A58" s="43" t="s">
        <v>3391</v>
      </c>
      <c r="M58" s="43" t="s">
        <v>3396</v>
      </c>
    </row>
    <row r="59" spans="1:18" x14ac:dyDescent="0.2">
      <c r="M59" s="43" t="s">
        <v>3399</v>
      </c>
    </row>
    <row r="60" spans="1:18" x14ac:dyDescent="0.2">
      <c r="M60" s="43" t="s">
        <v>3397</v>
      </c>
      <c r="O60" s="162">
        <f>RATE(50,-2200,100000,0)</f>
        <v>3.8037067260003588E-3</v>
      </c>
      <c r="R60" s="43" t="str">
        <f ca="1">_xlfn.FORMULATEXT(O60)</f>
        <v>=RATE(50,-2200,100000,0)</v>
      </c>
    </row>
    <row r="61" spans="1:18" x14ac:dyDescent="0.2">
      <c r="M61" s="43" t="s">
        <v>3398</v>
      </c>
    </row>
    <row r="62" spans="1:18" x14ac:dyDescent="0.2">
      <c r="M62" s="43" t="s">
        <v>316</v>
      </c>
      <c r="O62" s="162">
        <f>(1+O60)^12-1</f>
        <v>4.6611592364608656E-2</v>
      </c>
      <c r="R62" s="43" t="str">
        <f ca="1">_xlfn.FORMULATEXT(O62)</f>
        <v>=(1+O60)^12-1</v>
      </c>
    </row>
    <row r="64" spans="1:18" x14ac:dyDescent="0.2">
      <c r="A64" s="43" t="s">
        <v>3392</v>
      </c>
    </row>
    <row r="65" spans="1:18" x14ac:dyDescent="0.2">
      <c r="M65" s="43" t="s">
        <v>3400</v>
      </c>
    </row>
    <row r="66" spans="1:18" x14ac:dyDescent="0.2">
      <c r="M66" s="43" t="s">
        <v>3401</v>
      </c>
      <c r="O66" s="43">
        <f>50000-6000</f>
        <v>44000</v>
      </c>
      <c r="R66" s="43" t="str">
        <f ca="1">_xlfn.FORMULATEXT(O66)</f>
        <v>=50000-6000</v>
      </c>
    </row>
    <row r="67" spans="1:18" x14ac:dyDescent="0.2">
      <c r="M67" s="43" t="s">
        <v>3402</v>
      </c>
      <c r="O67" s="43">
        <f>50000*(1+8%/6)^6</f>
        <v>54135.727534108126</v>
      </c>
      <c r="R67" s="43" t="str">
        <f ca="1">_xlfn.FORMULATEXT(O67)</f>
        <v>=50000*(1+8%/6)^6</v>
      </c>
    </row>
    <row r="68" spans="1:18" x14ac:dyDescent="0.2">
      <c r="M68" s="43" t="s">
        <v>3403</v>
      </c>
      <c r="O68" s="162">
        <f>O67/O66-1</f>
        <v>0.23035744395700286</v>
      </c>
      <c r="R68" s="43" t="str">
        <f ca="1">_xlfn.FORMULATEXT(O68)</f>
        <v>=O67/O66-1</v>
      </c>
    </row>
    <row r="70" spans="1:18" x14ac:dyDescent="0.2">
      <c r="A70" s="43" t="s">
        <v>3404</v>
      </c>
    </row>
    <row r="71" spans="1:18" x14ac:dyDescent="0.2">
      <c r="M71" s="43" t="s">
        <v>3406</v>
      </c>
    </row>
    <row r="72" spans="1:18" x14ac:dyDescent="0.2">
      <c r="M72" s="43" t="s">
        <v>3405</v>
      </c>
    </row>
    <row r="73" spans="1:18" x14ac:dyDescent="0.2">
      <c r="O73" s="162">
        <f>(1+6%/4)^2-1</f>
        <v>3.0224999999999724E-2</v>
      </c>
      <c r="R73" s="43" t="str">
        <f ca="1">_xlfn.FORMULATEXT(O73)</f>
        <v>=(1+6%/4)^2-1</v>
      </c>
    </row>
    <row r="74" spans="1:18" x14ac:dyDescent="0.2">
      <c r="M74" s="43" t="s">
        <v>3408</v>
      </c>
    </row>
    <row r="75" spans="1:18" x14ac:dyDescent="0.2">
      <c r="M75" s="43" t="s">
        <v>3407</v>
      </c>
    </row>
    <row r="76" spans="1:18" x14ac:dyDescent="0.2">
      <c r="O76" s="162">
        <f>(1+O73)/(1+2%)-1</f>
        <v>1.0024509803921333E-2</v>
      </c>
      <c r="R76" s="43" t="str">
        <f ca="1">_xlfn.FORMULATEXT(O76)</f>
        <v>=(1+O73)/(1+2%)-1</v>
      </c>
    </row>
    <row r="77" spans="1:18" x14ac:dyDescent="0.2">
      <c r="M77" s="43" t="s">
        <v>3409</v>
      </c>
    </row>
    <row r="78" spans="1:18" x14ac:dyDescent="0.2">
      <c r="M78" s="43" t="s">
        <v>3410</v>
      </c>
    </row>
    <row r="79" spans="1:18" x14ac:dyDescent="0.2">
      <c r="O79" s="162">
        <f>(1+O76)^2-1</f>
        <v>2.0149510404651627E-2</v>
      </c>
      <c r="R79" s="43" t="str">
        <f ca="1">_xlfn.FORMULATEXT(O79)</f>
        <v>=(1+O76)^2-1</v>
      </c>
    </row>
    <row r="83" spans="1:8" x14ac:dyDescent="0.2">
      <c r="A83" s="688" t="s">
        <v>3413</v>
      </c>
      <c r="B83" s="689"/>
      <c r="C83" s="689"/>
      <c r="D83" s="689"/>
      <c r="E83" s="45" t="s">
        <v>3414</v>
      </c>
      <c r="F83" s="46"/>
      <c r="G83" s="46"/>
      <c r="H83" s="46"/>
    </row>
    <row r="102" spans="1:13" x14ac:dyDescent="0.2">
      <c r="A102" s="278" t="s">
        <v>2007</v>
      </c>
      <c r="B102" s="279"/>
      <c r="C102" s="279"/>
      <c r="D102" s="279"/>
      <c r="E102" s="279"/>
      <c r="F102" s="279"/>
      <c r="G102" s="279"/>
      <c r="H102" s="279"/>
    </row>
    <row r="105" spans="1:13" x14ac:dyDescent="0.2">
      <c r="J105" s="43" t="s">
        <v>2199</v>
      </c>
    </row>
    <row r="106" spans="1:13" x14ac:dyDescent="0.2">
      <c r="J106" s="43" t="s">
        <v>2200</v>
      </c>
    </row>
    <row r="107" spans="1:13" x14ac:dyDescent="0.2">
      <c r="J107" s="507" t="s">
        <v>3326</v>
      </c>
      <c r="K107" s="507" t="s">
        <v>3325</v>
      </c>
      <c r="L107" s="507" t="s">
        <v>3324</v>
      </c>
    </row>
    <row r="108" spans="1:13" ht="16" x14ac:dyDescent="0.2">
      <c r="J108" s="54">
        <f>K108</f>
        <v>9.9981303892207052E-3</v>
      </c>
      <c r="K108" s="203">
        <f>L108</f>
        <v>9.9981303892207052E-3</v>
      </c>
      <c r="L108" s="203">
        <f>O123</f>
        <v>9.9981303892207052E-3</v>
      </c>
      <c r="M108" s="92" t="s">
        <v>87</v>
      </c>
    </row>
    <row r="109" spans="1:13" ht="16" x14ac:dyDescent="0.2">
      <c r="J109" s="47">
        <v>2</v>
      </c>
      <c r="K109" s="47">
        <v>2</v>
      </c>
      <c r="L109" s="47">
        <v>2</v>
      </c>
      <c r="M109" s="92" t="s">
        <v>89</v>
      </c>
    </row>
    <row r="110" spans="1:13" ht="16" x14ac:dyDescent="0.2">
      <c r="J110" s="47">
        <f>-N120</f>
        <v>-4775</v>
      </c>
      <c r="K110" s="47">
        <f>-N118</f>
        <v>5000</v>
      </c>
      <c r="L110" s="47">
        <f>-N116</f>
        <v>-6500</v>
      </c>
      <c r="M110" s="92" t="s">
        <v>91</v>
      </c>
    </row>
    <row r="111" spans="1:13" ht="16" x14ac:dyDescent="0.2">
      <c r="J111" s="686">
        <f>-K112</f>
        <v>-3277.5541099517886</v>
      </c>
      <c r="K111" s="509">
        <f>-L112</f>
        <v>-13064.987847529941</v>
      </c>
      <c r="L111" s="47">
        <v>0</v>
      </c>
      <c r="M111" s="92" t="s">
        <v>281</v>
      </c>
    </row>
    <row r="112" spans="1:13" ht="16" x14ac:dyDescent="0.2">
      <c r="I112" s="43" t="s">
        <v>3332</v>
      </c>
      <c r="J112" s="687">
        <f>FV(J108,J109,J110,J111)</f>
        <v>12941.161642125811</v>
      </c>
      <c r="K112" s="686">
        <f>FV(K108,K109,K110,K111)</f>
        <v>3277.5541099517886</v>
      </c>
      <c r="L112" s="509">
        <f>FV(L108,L109,L110,L111)</f>
        <v>13064.987847529941</v>
      </c>
      <c r="M112" s="92" t="s">
        <v>105</v>
      </c>
    </row>
    <row r="113" spans="1:15" ht="16" x14ac:dyDescent="0.2">
      <c r="J113" s="47"/>
      <c r="K113" s="47"/>
      <c r="L113" s="47"/>
      <c r="M113" s="92"/>
    </row>
    <row r="115" spans="1:15" ht="16" thickBot="1" x14ac:dyDescent="0.25">
      <c r="J115" s="683" t="s">
        <v>1134</v>
      </c>
      <c r="K115" s="43" t="s">
        <v>3320</v>
      </c>
      <c r="L115" s="43" t="s">
        <v>3319</v>
      </c>
      <c r="M115" s="43" t="s">
        <v>1991</v>
      </c>
      <c r="N115" s="683" t="s">
        <v>3328</v>
      </c>
      <c r="O115" s="43" t="s">
        <v>3329</v>
      </c>
    </row>
    <row r="116" spans="1:15" x14ac:dyDescent="0.2">
      <c r="J116" s="684">
        <v>1</v>
      </c>
      <c r="K116" s="43" t="s">
        <v>3321</v>
      </c>
      <c r="L116" s="43">
        <v>11500</v>
      </c>
      <c r="M116" s="43">
        <v>-5000</v>
      </c>
      <c r="N116" s="684">
        <f t="shared" ref="N116:N121" si="0">L116+M116</f>
        <v>6500</v>
      </c>
      <c r="O116" s="43" t="s">
        <v>3330</v>
      </c>
    </row>
    <row r="117" spans="1:15" ht="16" thickBot="1" x14ac:dyDescent="0.25">
      <c r="J117" s="685">
        <v>2</v>
      </c>
      <c r="K117" s="43" t="s">
        <v>3321</v>
      </c>
      <c r="L117" s="43">
        <v>11500</v>
      </c>
      <c r="M117" s="43">
        <v>-5000</v>
      </c>
      <c r="N117" s="685">
        <f t="shared" si="0"/>
        <v>6500</v>
      </c>
      <c r="O117" s="43" t="s">
        <v>3330</v>
      </c>
    </row>
    <row r="118" spans="1:15" x14ac:dyDescent="0.2">
      <c r="J118" s="684">
        <v>3</v>
      </c>
      <c r="K118" s="43" t="s">
        <v>3322</v>
      </c>
      <c r="L118" s="43">
        <v>0</v>
      </c>
      <c r="M118" s="43">
        <v>-5000</v>
      </c>
      <c r="N118" s="684">
        <f t="shared" si="0"/>
        <v>-5000</v>
      </c>
      <c r="O118" s="43" t="s">
        <v>3331</v>
      </c>
    </row>
    <row r="119" spans="1:15" ht="16" thickBot="1" x14ac:dyDescent="0.25">
      <c r="J119" s="685">
        <v>4</v>
      </c>
      <c r="K119" s="43" t="s">
        <v>3322</v>
      </c>
      <c r="L119" s="43">
        <v>0</v>
      </c>
      <c r="M119" s="43">
        <v>-5000</v>
      </c>
      <c r="N119" s="685">
        <f t="shared" si="0"/>
        <v>-5000</v>
      </c>
      <c r="O119" s="43" t="s">
        <v>3331</v>
      </c>
    </row>
    <row r="120" spans="1:15" x14ac:dyDescent="0.2">
      <c r="J120" s="684">
        <v>5</v>
      </c>
      <c r="K120" s="43" t="s">
        <v>3323</v>
      </c>
      <c r="L120" s="43">
        <f>L$116*(1-15%)</f>
        <v>9775</v>
      </c>
      <c r="M120" s="43">
        <v>-5000</v>
      </c>
      <c r="N120" s="684">
        <f t="shared" si="0"/>
        <v>4775</v>
      </c>
      <c r="O120" s="43" t="s">
        <v>3330</v>
      </c>
    </row>
    <row r="121" spans="1:15" ht="16" thickBot="1" x14ac:dyDescent="0.25">
      <c r="J121" s="685">
        <v>6</v>
      </c>
      <c r="K121" s="43" t="s">
        <v>3323</v>
      </c>
      <c r="L121" s="43">
        <f>L$116*(1-15%)</f>
        <v>9775</v>
      </c>
      <c r="M121" s="43">
        <v>-5000</v>
      </c>
      <c r="N121" s="685">
        <f t="shared" si="0"/>
        <v>4775</v>
      </c>
      <c r="O121" s="43" t="s">
        <v>3330</v>
      </c>
    </row>
    <row r="123" spans="1:15" x14ac:dyDescent="0.2">
      <c r="J123" s="43" t="s">
        <v>3327</v>
      </c>
      <c r="O123" s="151">
        <f>(1+12.68%)^(1/12)-1</f>
        <v>9.9981303892207052E-3</v>
      </c>
    </row>
    <row r="126" spans="1:15" x14ac:dyDescent="0.2">
      <c r="A126" s="278" t="s">
        <v>2008</v>
      </c>
      <c r="B126" s="279"/>
      <c r="C126" s="279"/>
      <c r="D126" s="279"/>
      <c r="E126" s="279"/>
      <c r="F126" s="279"/>
      <c r="G126" s="279"/>
      <c r="H126" s="279"/>
    </row>
    <row r="127" spans="1:15" x14ac:dyDescent="0.2">
      <c r="A127" s="43" t="s">
        <v>2009</v>
      </c>
    </row>
    <row r="128" spans="1:15" x14ac:dyDescent="0.2">
      <c r="A128" s="43" t="s">
        <v>2010</v>
      </c>
    </row>
    <row r="129" spans="1:6" x14ac:dyDescent="0.2">
      <c r="A129" s="43" t="s">
        <v>2011</v>
      </c>
    </row>
    <row r="130" spans="1:6" x14ac:dyDescent="0.2">
      <c r="A130" s="43" t="s">
        <v>2012</v>
      </c>
    </row>
    <row r="131" spans="1:6" x14ac:dyDescent="0.2">
      <c r="A131" s="43" t="s">
        <v>2013</v>
      </c>
    </row>
    <row r="132" spans="1:6" x14ac:dyDescent="0.2">
      <c r="A132" s="43" t="s">
        <v>2014</v>
      </c>
    </row>
    <row r="134" spans="1:6" x14ac:dyDescent="0.2">
      <c r="A134" s="43" t="s">
        <v>2015</v>
      </c>
    </row>
    <row r="135" spans="1:6" x14ac:dyDescent="0.2">
      <c r="A135" s="43" t="s">
        <v>2016</v>
      </c>
    </row>
    <row r="136" spans="1:6" x14ac:dyDescent="0.2">
      <c r="A136" s="43" t="s">
        <v>2017</v>
      </c>
    </row>
    <row r="137" spans="1:6" x14ac:dyDescent="0.2">
      <c r="A137" s="43" t="s">
        <v>2018</v>
      </c>
    </row>
    <row r="139" spans="1:6" x14ac:dyDescent="0.2">
      <c r="A139" s="43" t="s">
        <v>2019</v>
      </c>
    </row>
    <row r="140" spans="1:6" x14ac:dyDescent="0.2">
      <c r="A140" s="43" t="s">
        <v>2020</v>
      </c>
    </row>
    <row r="141" spans="1:6" x14ac:dyDescent="0.2">
      <c r="A141" s="43" t="s">
        <v>2021</v>
      </c>
    </row>
    <row r="143" spans="1:6" x14ac:dyDescent="0.2">
      <c r="C143" s="59" t="s">
        <v>2022</v>
      </c>
      <c r="D143" s="59" t="s">
        <v>2023</v>
      </c>
      <c r="E143" s="59" t="s">
        <v>2024</v>
      </c>
    </row>
    <row r="144" spans="1:6" ht="16" x14ac:dyDescent="0.2">
      <c r="C144" s="77">
        <f>D144</f>
        <v>0.01</v>
      </c>
      <c r="D144" s="77">
        <f>E144</f>
        <v>0.01</v>
      </c>
      <c r="E144" s="77">
        <v>0.01</v>
      </c>
      <c r="F144" s="92" t="s">
        <v>87</v>
      </c>
    </row>
    <row r="145" spans="1:10" ht="16" x14ac:dyDescent="0.2">
      <c r="C145" s="43">
        <v>2</v>
      </c>
      <c r="D145" s="43">
        <v>2</v>
      </c>
      <c r="E145" s="43">
        <v>2</v>
      </c>
      <c r="F145" s="92" t="s">
        <v>89</v>
      </c>
    </row>
    <row r="146" spans="1:10" ht="16" x14ac:dyDescent="0.2">
      <c r="C146" s="289">
        <f>-D148</f>
        <v>-3277.6064999999999</v>
      </c>
      <c r="D146" s="288">
        <f>-E148</f>
        <v>-13065.000000000004</v>
      </c>
      <c r="E146" s="43">
        <v>0</v>
      </c>
      <c r="F146" s="92" t="s">
        <v>281</v>
      </c>
    </row>
    <row r="147" spans="1:10" ht="17" thickBot="1" x14ac:dyDescent="0.25">
      <c r="C147" s="74">
        <f>-(11500*0.85-5000)</f>
        <v>-4775</v>
      </c>
      <c r="D147" s="74">
        <f>-(0-5000)</f>
        <v>5000</v>
      </c>
      <c r="E147" s="74">
        <f>-(11500-5000)</f>
        <v>-6500</v>
      </c>
      <c r="F147" s="92" t="s">
        <v>91</v>
      </c>
    </row>
    <row r="148" spans="1:10" ht="17" thickBot="1" x14ac:dyDescent="0.25">
      <c r="C148" s="290">
        <f t="shared" ref="C148:D148" si="1">FV(C144,C145,C147,C146)</f>
        <v>12941.236390650003</v>
      </c>
      <c r="D148" s="289">
        <f t="shared" si="1"/>
        <v>3277.6064999999999</v>
      </c>
      <c r="E148" s="288">
        <f>FV(E144,E145,E147,E146,E149)</f>
        <v>13065.000000000004</v>
      </c>
      <c r="F148" s="92" t="s">
        <v>105</v>
      </c>
    </row>
    <row r="149" spans="1:10" ht="16" x14ac:dyDescent="0.2">
      <c r="C149" s="43">
        <v>0</v>
      </c>
      <c r="D149" s="43">
        <v>0</v>
      </c>
      <c r="E149" s="43">
        <v>0</v>
      </c>
      <c r="F149" s="92" t="s">
        <v>328</v>
      </c>
    </row>
    <row r="151" spans="1:10" x14ac:dyDescent="0.2">
      <c r="A151" s="278" t="s">
        <v>2026</v>
      </c>
      <c r="B151" s="278"/>
      <c r="C151" s="278"/>
      <c r="D151" s="278"/>
      <c r="E151" s="278"/>
      <c r="F151" s="278"/>
      <c r="G151" s="278"/>
      <c r="H151" s="278"/>
    </row>
    <row r="160" spans="1:10" x14ac:dyDescent="0.2">
      <c r="I160" s="43" t="s">
        <v>611</v>
      </c>
      <c r="J160" s="510">
        <v>1000000</v>
      </c>
    </row>
    <row r="161" spans="9:18" x14ac:dyDescent="0.2">
      <c r="I161" s="43" t="s">
        <v>610</v>
      </c>
      <c r="K161" s="47"/>
    </row>
    <row r="162" spans="9:18" x14ac:dyDescent="0.2">
      <c r="J162" s="47">
        <v>0</v>
      </c>
      <c r="K162" s="511">
        <v>150000</v>
      </c>
      <c r="M162" s="47"/>
      <c r="N162" s="47"/>
      <c r="O162" s="47"/>
      <c r="P162" s="47"/>
      <c r="Q162" s="47"/>
    </row>
    <row r="163" spans="9:18" ht="16" x14ac:dyDescent="0.2">
      <c r="J163" s="47">
        <v>1</v>
      </c>
      <c r="K163" s="511">
        <v>0</v>
      </c>
      <c r="M163" s="64"/>
      <c r="N163" s="64"/>
      <c r="O163" s="64"/>
      <c r="P163" s="64"/>
      <c r="Q163" s="64"/>
      <c r="R163" s="92"/>
    </row>
    <row r="164" spans="9:18" ht="16" x14ac:dyDescent="0.2">
      <c r="J164" s="47">
        <f>J163+1</f>
        <v>2</v>
      </c>
      <c r="K164" s="511">
        <v>0</v>
      </c>
      <c r="R164" s="92"/>
    </row>
    <row r="165" spans="9:18" ht="16" x14ac:dyDescent="0.2">
      <c r="J165" s="47">
        <f t="shared" ref="J165:J173" si="2">J164+1</f>
        <v>3</v>
      </c>
      <c r="K165" s="511">
        <v>150000</v>
      </c>
      <c r="R165" s="92"/>
    </row>
    <row r="166" spans="9:18" ht="16" x14ac:dyDescent="0.2">
      <c r="J166" s="47">
        <f t="shared" si="2"/>
        <v>4</v>
      </c>
      <c r="K166" s="511">
        <v>0</v>
      </c>
      <c r="R166" s="92"/>
    </row>
    <row r="167" spans="9:18" ht="16" x14ac:dyDescent="0.2">
      <c r="J167" s="47">
        <f t="shared" si="2"/>
        <v>5</v>
      </c>
      <c r="K167" s="511">
        <v>0</v>
      </c>
      <c r="R167" s="92"/>
    </row>
    <row r="168" spans="9:18" ht="16" x14ac:dyDescent="0.2">
      <c r="J168" s="47">
        <f t="shared" si="2"/>
        <v>6</v>
      </c>
      <c r="K168" s="511">
        <v>0</v>
      </c>
      <c r="R168" s="92"/>
    </row>
    <row r="169" spans="9:18" x14ac:dyDescent="0.2">
      <c r="J169" s="47">
        <f t="shared" si="2"/>
        <v>7</v>
      </c>
      <c r="K169" s="511">
        <v>0</v>
      </c>
    </row>
    <row r="170" spans="9:18" x14ac:dyDescent="0.2">
      <c r="J170" s="47">
        <f t="shared" si="2"/>
        <v>8</v>
      </c>
      <c r="K170" s="511">
        <v>0</v>
      </c>
    </row>
    <row r="171" spans="9:18" x14ac:dyDescent="0.2">
      <c r="J171" s="47">
        <f>J170+1</f>
        <v>9</v>
      </c>
      <c r="K171" s="511">
        <v>350000</v>
      </c>
    </row>
    <row r="172" spans="9:18" x14ac:dyDescent="0.2">
      <c r="J172" s="47">
        <f t="shared" si="2"/>
        <v>10</v>
      </c>
      <c r="K172" s="511">
        <v>0</v>
      </c>
    </row>
    <row r="173" spans="9:18" x14ac:dyDescent="0.2">
      <c r="J173" s="47">
        <f t="shared" si="2"/>
        <v>11</v>
      </c>
      <c r="K173" s="511">
        <v>0</v>
      </c>
    </row>
    <row r="174" spans="9:18" x14ac:dyDescent="0.2">
      <c r="J174" s="47">
        <f>J173+1</f>
        <v>12</v>
      </c>
      <c r="K174" s="511">
        <v>400000</v>
      </c>
    </row>
    <row r="176" spans="9:18" x14ac:dyDescent="0.2">
      <c r="J176" s="47" t="s">
        <v>87</v>
      </c>
      <c r="K176" s="508">
        <f>(1+6.168%)^(1/12)-1</f>
        <v>5.0001726099697663E-3</v>
      </c>
    </row>
    <row r="178" spans="1:12" x14ac:dyDescent="0.2">
      <c r="K178" s="511">
        <f>NPV(K176,K163:K174)+K162</f>
        <v>1009169.7179833071</v>
      </c>
      <c r="L178" s="43" t="s">
        <v>1898</v>
      </c>
    </row>
    <row r="180" spans="1:12" ht="16" x14ac:dyDescent="0.2">
      <c r="I180" s="47" t="s">
        <v>1371</v>
      </c>
      <c r="K180" s="512">
        <v>6.1679999999999999E-2</v>
      </c>
      <c r="L180" s="92" t="s">
        <v>87</v>
      </c>
    </row>
    <row r="181" spans="1:12" ht="16" x14ac:dyDescent="0.2">
      <c r="A181" s="185"/>
      <c r="K181" s="47">
        <v>1</v>
      </c>
      <c r="L181" s="92" t="s">
        <v>89</v>
      </c>
    </row>
    <row r="182" spans="1:12" ht="16" x14ac:dyDescent="0.2">
      <c r="A182" s="278" t="s">
        <v>2027</v>
      </c>
      <c r="B182" s="278"/>
      <c r="C182" s="278"/>
      <c r="D182" s="278"/>
      <c r="E182" s="278"/>
      <c r="F182" s="278"/>
      <c r="G182" s="278"/>
      <c r="H182" s="278"/>
      <c r="K182" s="513">
        <f>PV(K180,K181,K183,K184)</f>
        <v>1036093.7382262076</v>
      </c>
      <c r="L182" s="92" t="s">
        <v>281</v>
      </c>
    </row>
    <row r="183" spans="1:12" ht="16" x14ac:dyDescent="0.2">
      <c r="A183" s="74" t="s">
        <v>2028</v>
      </c>
      <c r="B183" s="74"/>
      <c r="C183" s="74"/>
      <c r="D183" s="74"/>
      <c r="E183" s="74"/>
      <c r="F183" s="74"/>
      <c r="G183" s="74"/>
      <c r="H183" s="74"/>
      <c r="K183" s="47">
        <v>0</v>
      </c>
      <c r="L183" s="92" t="s">
        <v>91</v>
      </c>
    </row>
    <row r="184" spans="1:12" ht="16" x14ac:dyDescent="0.2">
      <c r="A184" s="74" t="s">
        <v>2029</v>
      </c>
      <c r="B184" s="74"/>
      <c r="C184" s="74"/>
      <c r="D184" s="74"/>
      <c r="E184" s="74"/>
      <c r="F184" s="74"/>
      <c r="G184" s="74"/>
      <c r="H184" s="74"/>
      <c r="K184" s="47">
        <v>-1100000</v>
      </c>
      <c r="L184" s="92" t="s">
        <v>105</v>
      </c>
    </row>
    <row r="185" spans="1:12" ht="16" x14ac:dyDescent="0.2">
      <c r="A185" s="74" t="s">
        <v>2030</v>
      </c>
      <c r="B185" s="74"/>
      <c r="C185" s="74"/>
      <c r="D185" s="74"/>
      <c r="E185" s="74"/>
      <c r="F185" s="74"/>
      <c r="G185" s="74"/>
      <c r="H185" s="74"/>
      <c r="K185" s="47">
        <v>0</v>
      </c>
      <c r="L185" s="92" t="s">
        <v>328</v>
      </c>
    </row>
    <row r="186" spans="1:12" x14ac:dyDescent="0.2">
      <c r="A186" s="74" t="s">
        <v>2031</v>
      </c>
      <c r="B186" s="74"/>
      <c r="C186" s="74"/>
      <c r="D186" s="74"/>
      <c r="E186" s="74"/>
      <c r="F186" s="74"/>
      <c r="G186" s="74"/>
      <c r="H186" s="74"/>
    </row>
    <row r="187" spans="1:12" x14ac:dyDescent="0.2">
      <c r="A187" s="74" t="s">
        <v>2032</v>
      </c>
      <c r="B187" s="74"/>
      <c r="C187" s="74"/>
      <c r="D187" s="74"/>
      <c r="E187" s="74"/>
      <c r="F187" s="74"/>
      <c r="G187" s="74"/>
      <c r="H187" s="74"/>
    </row>
    <row r="188" spans="1:12" x14ac:dyDescent="0.2">
      <c r="A188" s="74" t="s">
        <v>2033</v>
      </c>
      <c r="B188" s="74"/>
      <c r="C188" s="74"/>
      <c r="D188" s="74"/>
      <c r="E188" s="74"/>
      <c r="F188" s="74"/>
      <c r="G188" s="74"/>
      <c r="H188" s="74"/>
    </row>
    <row r="189" spans="1:12" x14ac:dyDescent="0.2">
      <c r="A189" s="74"/>
      <c r="B189" s="74"/>
      <c r="C189" s="74"/>
      <c r="D189" s="74"/>
      <c r="E189" s="74"/>
      <c r="F189" s="74"/>
      <c r="G189" s="74"/>
      <c r="H189" s="74"/>
    </row>
    <row r="190" spans="1:12" x14ac:dyDescent="0.2">
      <c r="A190" s="74"/>
      <c r="B190" s="74"/>
      <c r="C190" s="74"/>
      <c r="D190" s="74"/>
      <c r="E190" s="74"/>
      <c r="F190" s="74"/>
      <c r="G190" s="74"/>
      <c r="H190" s="74"/>
    </row>
    <row r="191" spans="1:12" x14ac:dyDescent="0.2">
      <c r="A191" s="74"/>
      <c r="B191" s="283" t="s">
        <v>1371</v>
      </c>
      <c r="C191" s="282" t="s">
        <v>610</v>
      </c>
      <c r="D191" s="281" t="s">
        <v>611</v>
      </c>
      <c r="E191" s="60" t="s">
        <v>2034</v>
      </c>
      <c r="F191" s="74"/>
      <c r="G191" s="74"/>
      <c r="H191" s="74"/>
    </row>
    <row r="192" spans="1:12" x14ac:dyDescent="0.2">
      <c r="A192" s="74"/>
      <c r="B192" s="48">
        <v>0</v>
      </c>
      <c r="C192" s="48">
        <v>-150000</v>
      </c>
      <c r="D192" s="48">
        <v>-1000000</v>
      </c>
      <c r="E192" s="48">
        <v>0</v>
      </c>
      <c r="F192" s="74"/>
      <c r="G192" s="74"/>
      <c r="H192" s="74"/>
    </row>
    <row r="193" spans="1:8" x14ac:dyDescent="0.2">
      <c r="A193" s="74"/>
      <c r="B193" s="48">
        <v>0</v>
      </c>
      <c r="C193" s="48">
        <v>0</v>
      </c>
      <c r="D193" s="48"/>
      <c r="E193" s="48">
        <v>1</v>
      </c>
      <c r="F193" s="74"/>
      <c r="G193" s="74"/>
      <c r="H193" s="74"/>
    </row>
    <row r="194" spans="1:8" x14ac:dyDescent="0.2">
      <c r="A194" s="74"/>
      <c r="B194" s="48">
        <v>0</v>
      </c>
      <c r="C194" s="48">
        <v>0</v>
      </c>
      <c r="D194" s="48"/>
      <c r="E194" s="48">
        <v>2</v>
      </c>
      <c r="F194" s="74"/>
      <c r="G194" s="74"/>
      <c r="H194" s="74"/>
    </row>
    <row r="195" spans="1:8" x14ac:dyDescent="0.2">
      <c r="A195" s="74"/>
      <c r="B195" s="48">
        <v>0</v>
      </c>
      <c r="C195" s="48">
        <v>-150000</v>
      </c>
      <c r="D195" s="48"/>
      <c r="E195" s="48">
        <v>3</v>
      </c>
      <c r="F195" s="74"/>
      <c r="G195" s="74"/>
      <c r="H195" s="74"/>
    </row>
    <row r="196" spans="1:8" x14ac:dyDescent="0.2">
      <c r="A196" s="74"/>
      <c r="B196" s="48">
        <v>0</v>
      </c>
      <c r="C196" s="48">
        <v>0</v>
      </c>
      <c r="D196" s="48"/>
      <c r="E196" s="48">
        <v>4</v>
      </c>
      <c r="F196" s="74"/>
      <c r="G196" s="74"/>
      <c r="H196" s="74"/>
    </row>
    <row r="197" spans="1:8" x14ac:dyDescent="0.2">
      <c r="A197" s="74"/>
      <c r="B197" s="48">
        <v>0</v>
      </c>
      <c r="C197" s="48">
        <v>0</v>
      </c>
      <c r="D197" s="48"/>
      <c r="E197" s="48">
        <v>5</v>
      </c>
      <c r="F197" s="74"/>
      <c r="G197" s="74"/>
      <c r="H197" s="74"/>
    </row>
    <row r="198" spans="1:8" x14ac:dyDescent="0.2">
      <c r="A198" s="74"/>
      <c r="B198" s="48">
        <v>0</v>
      </c>
      <c r="C198" s="48">
        <v>0</v>
      </c>
      <c r="D198" s="48"/>
      <c r="E198" s="48">
        <v>6</v>
      </c>
      <c r="F198" s="74"/>
      <c r="G198" s="74"/>
      <c r="H198" s="74"/>
    </row>
    <row r="199" spans="1:8" x14ac:dyDescent="0.2">
      <c r="A199" s="74"/>
      <c r="B199" s="48">
        <v>0</v>
      </c>
      <c r="C199" s="48">
        <v>0</v>
      </c>
      <c r="D199" s="48"/>
      <c r="E199" s="48">
        <v>7</v>
      </c>
      <c r="F199" s="74"/>
      <c r="G199" s="74"/>
      <c r="H199" s="74"/>
    </row>
    <row r="200" spans="1:8" x14ac:dyDescent="0.2">
      <c r="A200" s="74"/>
      <c r="B200" s="48">
        <v>0</v>
      </c>
      <c r="C200" s="48">
        <v>0</v>
      </c>
      <c r="D200" s="48"/>
      <c r="E200" s="48">
        <v>8</v>
      </c>
      <c r="F200" s="74"/>
      <c r="G200" s="74"/>
      <c r="H200" s="74"/>
    </row>
    <row r="201" spans="1:8" x14ac:dyDescent="0.2">
      <c r="A201" s="74"/>
      <c r="B201" s="48">
        <v>0</v>
      </c>
      <c r="C201" s="48">
        <v>-350000</v>
      </c>
      <c r="D201" s="48"/>
      <c r="E201" s="48">
        <v>9</v>
      </c>
      <c r="F201" s="74"/>
      <c r="G201" s="74"/>
      <c r="H201" s="74"/>
    </row>
    <row r="202" spans="1:8" x14ac:dyDescent="0.2">
      <c r="A202" s="74"/>
      <c r="B202" s="48">
        <v>0</v>
      </c>
      <c r="C202" s="48">
        <v>0</v>
      </c>
      <c r="D202" s="48"/>
      <c r="E202" s="48">
        <v>10</v>
      </c>
      <c r="F202" s="74"/>
      <c r="G202" s="74"/>
      <c r="H202" s="74"/>
    </row>
    <row r="203" spans="1:8" x14ac:dyDescent="0.2">
      <c r="A203" s="74"/>
      <c r="B203" s="48">
        <v>0</v>
      </c>
      <c r="C203" s="48">
        <v>0</v>
      </c>
      <c r="D203" s="48"/>
      <c r="E203" s="48">
        <v>11</v>
      </c>
      <c r="F203" s="74"/>
      <c r="G203" s="74"/>
      <c r="H203" s="74"/>
    </row>
    <row r="204" spans="1:8" x14ac:dyDescent="0.2">
      <c r="A204" s="74"/>
      <c r="B204" s="48">
        <v>-1100000</v>
      </c>
      <c r="C204" s="48">
        <v>-400000</v>
      </c>
      <c r="D204" s="48"/>
      <c r="E204" s="48">
        <v>12</v>
      </c>
      <c r="F204" s="74"/>
      <c r="G204" s="74"/>
      <c r="H204" s="74"/>
    </row>
    <row r="205" spans="1:8" x14ac:dyDescent="0.2">
      <c r="A205" s="74"/>
      <c r="B205" s="74"/>
      <c r="C205" s="74"/>
      <c r="D205" s="74"/>
      <c r="E205" s="74"/>
      <c r="F205" s="74"/>
      <c r="G205" s="74"/>
      <c r="H205" s="74"/>
    </row>
    <row r="206" spans="1:8" x14ac:dyDescent="0.2">
      <c r="A206" s="74"/>
      <c r="B206" s="284">
        <f>NPV($E$212,B193:B204)+B192</f>
        <v>-1036095.8736325111</v>
      </c>
      <c r="C206" s="150">
        <f>NPV($E$212,C193:C204)+C192</f>
        <v>-1009171.0879026818</v>
      </c>
      <c r="D206" s="280">
        <f>NPV($E$212,D193:D204)+D192</f>
        <v>-1000000</v>
      </c>
      <c r="E206" s="43" t="s">
        <v>2035</v>
      </c>
    </row>
    <row r="207" spans="1:8" x14ac:dyDescent="0.2">
      <c r="B207" s="47" t="s">
        <v>2036</v>
      </c>
      <c r="C207" s="47" t="s">
        <v>2037</v>
      </c>
      <c r="D207" s="47" t="s">
        <v>2038</v>
      </c>
    </row>
    <row r="208" spans="1:8" x14ac:dyDescent="0.2">
      <c r="B208" s="47" t="s">
        <v>2039</v>
      </c>
      <c r="C208" s="47"/>
      <c r="D208" s="47"/>
    </row>
    <row r="209" spans="1:12" ht="16" thickBot="1" x14ac:dyDescent="0.25">
      <c r="B209" s="47"/>
    </row>
    <row r="210" spans="1:12" ht="22" thickBot="1" x14ac:dyDescent="0.3">
      <c r="A210" s="275" t="s">
        <v>2040</v>
      </c>
      <c r="C210" s="285">
        <f>B206-D206</f>
        <v>-36095.873632511124</v>
      </c>
    </row>
    <row r="211" spans="1:12" x14ac:dyDescent="0.2">
      <c r="B211" s="47"/>
    </row>
    <row r="212" spans="1:12" x14ac:dyDescent="0.2">
      <c r="A212" s="43" t="s">
        <v>2041</v>
      </c>
      <c r="B212" s="47"/>
      <c r="E212" s="161">
        <v>5.0000000000000001E-3</v>
      </c>
      <c r="G212" s="43" t="s">
        <v>2042</v>
      </c>
    </row>
    <row r="213" spans="1:12" x14ac:dyDescent="0.2">
      <c r="A213" s="74"/>
      <c r="B213" s="47"/>
    </row>
    <row r="214" spans="1:12" x14ac:dyDescent="0.2">
      <c r="A214" s="278" t="s">
        <v>2043</v>
      </c>
      <c r="B214" s="278"/>
      <c r="C214" s="278"/>
      <c r="D214" s="278"/>
      <c r="E214" s="278"/>
      <c r="F214" s="278"/>
      <c r="G214" s="278"/>
      <c r="H214" s="278"/>
      <c r="J214" s="517" t="s">
        <v>2231</v>
      </c>
      <c r="K214" s="517"/>
      <c r="L214" s="517"/>
    </row>
    <row r="216" spans="1:12" x14ac:dyDescent="0.2">
      <c r="A216" s="44"/>
    </row>
    <row r="217" spans="1:12" x14ac:dyDescent="0.2">
      <c r="A217" s="74"/>
      <c r="B217" s="47"/>
    </row>
    <row r="218" spans="1:12" x14ac:dyDescent="0.2">
      <c r="A218" s="74"/>
      <c r="B218" s="47"/>
    </row>
    <row r="225" spans="1:29" x14ac:dyDescent="0.2">
      <c r="U225" s="515">
        <f>NPV(U226,U228:U244)*(1+12.69%)^(1/12)</f>
        <v>285005.14977651188</v>
      </c>
      <c r="V225" s="43" t="s">
        <v>728</v>
      </c>
      <c r="W225" s="516" t="s">
        <v>2222</v>
      </c>
      <c r="X225" s="516"/>
      <c r="AB225" s="59" t="s">
        <v>2219</v>
      </c>
      <c r="AC225" s="59"/>
    </row>
    <row r="226" spans="1:29" ht="16" x14ac:dyDescent="0.2">
      <c r="S226" s="256" t="s">
        <v>2203</v>
      </c>
      <c r="U226" s="256">
        <f>(1+12.69%)^(2/12)-1</f>
        <v>2.0111311227025475E-2</v>
      </c>
      <c r="V226" s="256"/>
      <c r="AB226" s="512">
        <f>U226</f>
        <v>2.0111311227025475E-2</v>
      </c>
      <c r="AC226" s="92" t="s">
        <v>87</v>
      </c>
    </row>
    <row r="227" spans="1:29" ht="16" x14ac:dyDescent="0.2">
      <c r="S227" s="43" t="s">
        <v>1134</v>
      </c>
      <c r="T227" s="29">
        <v>1.4</v>
      </c>
      <c r="U227" s="29"/>
      <c r="V227" s="256"/>
      <c r="W227" s="43" t="s">
        <v>2204</v>
      </c>
      <c r="AB227" s="47">
        <v>17</v>
      </c>
      <c r="AC227" s="92" t="s">
        <v>89</v>
      </c>
    </row>
    <row r="228" spans="1:29" ht="16" x14ac:dyDescent="0.2">
      <c r="S228" s="47"/>
      <c r="T228" s="29">
        <v>30.4</v>
      </c>
      <c r="U228" s="29">
        <v>20000</v>
      </c>
      <c r="V228" s="396"/>
      <c r="W228" s="43" t="s">
        <v>2205</v>
      </c>
      <c r="AB228" s="513">
        <f>PV(AB226,AB227,AB229,AB230)</f>
        <v>-285571.67567212071</v>
      </c>
      <c r="AC228" s="92" t="s">
        <v>281</v>
      </c>
    </row>
    <row r="229" spans="1:29" ht="16" x14ac:dyDescent="0.2">
      <c r="A229" s="278" t="s">
        <v>2044</v>
      </c>
      <c r="B229" s="278"/>
      <c r="C229" s="278"/>
      <c r="D229" s="278"/>
      <c r="E229" s="278"/>
      <c r="F229" s="278"/>
      <c r="G229" s="278"/>
      <c r="H229" s="278"/>
      <c r="S229" s="496" t="s">
        <v>2202</v>
      </c>
      <c r="T229" s="29">
        <v>30.6</v>
      </c>
      <c r="U229" s="29">
        <v>20000</v>
      </c>
      <c r="V229" s="396"/>
      <c r="W229" s="43" t="s">
        <v>2206</v>
      </c>
      <c r="AB229" s="47">
        <v>20000</v>
      </c>
      <c r="AC229" s="92" t="s">
        <v>91</v>
      </c>
    </row>
    <row r="230" spans="1:29" ht="16" x14ac:dyDescent="0.2">
      <c r="S230" s="47"/>
      <c r="T230" s="29">
        <v>30.8</v>
      </c>
      <c r="U230" s="29">
        <v>20000</v>
      </c>
      <c r="V230" s="396"/>
      <c r="W230" s="43" t="s">
        <v>2207</v>
      </c>
      <c r="AB230" s="47">
        <v>0</v>
      </c>
      <c r="AC230" s="92" t="s">
        <v>105</v>
      </c>
    </row>
    <row r="231" spans="1:29" ht="16" x14ac:dyDescent="0.2">
      <c r="A231" s="43" t="s">
        <v>2045</v>
      </c>
      <c r="S231" s="47"/>
      <c r="T231" s="514" t="s">
        <v>2201</v>
      </c>
      <c r="U231" s="29">
        <v>20000</v>
      </c>
      <c r="V231" s="396"/>
      <c r="W231" s="43" t="s">
        <v>2208</v>
      </c>
      <c r="AB231" s="47">
        <v>0</v>
      </c>
      <c r="AC231" s="92" t="s">
        <v>328</v>
      </c>
    </row>
    <row r="232" spans="1:29" x14ac:dyDescent="0.2">
      <c r="A232" s="43" t="s">
        <v>2046</v>
      </c>
      <c r="S232" s="47">
        <v>2019</v>
      </c>
      <c r="T232" s="29">
        <v>31.12</v>
      </c>
      <c r="U232" s="29">
        <f>20000-1400</f>
        <v>18600</v>
      </c>
      <c r="V232" s="396">
        <v>-1400</v>
      </c>
      <c r="W232" s="43" t="s">
        <v>2209</v>
      </c>
    </row>
    <row r="233" spans="1:29" x14ac:dyDescent="0.2">
      <c r="A233" s="43" t="s">
        <v>2047</v>
      </c>
      <c r="F233" s="151">
        <f>1.06^2-1</f>
        <v>0.12360000000000015</v>
      </c>
      <c r="H233" s="43" t="s">
        <v>2048</v>
      </c>
      <c r="S233" s="47"/>
      <c r="T233" s="29">
        <v>28.2</v>
      </c>
      <c r="U233" s="29">
        <v>20000</v>
      </c>
      <c r="V233" s="396"/>
      <c r="W233" s="43" t="s">
        <v>2210</v>
      </c>
      <c r="AB233" s="43">
        <f>ABS(AB228)*(1+AB226)^0.5</f>
        <v>288428.99151651585</v>
      </c>
      <c r="AC233" s="43" t="s">
        <v>2218</v>
      </c>
    </row>
    <row r="234" spans="1:29" x14ac:dyDescent="0.2">
      <c r="S234" s="47"/>
      <c r="T234" s="29">
        <v>30.4</v>
      </c>
      <c r="U234" s="29">
        <v>20000</v>
      </c>
      <c r="V234" s="396"/>
      <c r="W234" s="43" t="s">
        <v>2211</v>
      </c>
    </row>
    <row r="235" spans="1:29" x14ac:dyDescent="0.2">
      <c r="A235" s="43" t="s">
        <v>2049</v>
      </c>
      <c r="S235" s="47"/>
      <c r="T235" s="29">
        <v>30.6</v>
      </c>
      <c r="U235" s="29">
        <v>20000</v>
      </c>
      <c r="V235" s="396"/>
      <c r="W235" s="43" t="s">
        <v>2212</v>
      </c>
      <c r="AB235" s="59" t="s">
        <v>2220</v>
      </c>
      <c r="AC235" s="59"/>
    </row>
    <row r="236" spans="1:29" ht="16" x14ac:dyDescent="0.2">
      <c r="A236" s="43" t="s">
        <v>2050</v>
      </c>
      <c r="S236" s="47"/>
      <c r="T236" s="29">
        <v>30.8</v>
      </c>
      <c r="U236" s="29">
        <v>20000</v>
      </c>
      <c r="V236" s="396"/>
      <c r="W236" s="43" t="s">
        <v>2213</v>
      </c>
      <c r="AB236" s="512">
        <v>0.12690000000000001</v>
      </c>
      <c r="AC236" s="92" t="s">
        <v>87</v>
      </c>
    </row>
    <row r="237" spans="1:29" ht="16" x14ac:dyDescent="0.2">
      <c r="A237" s="43" t="s">
        <v>2051</v>
      </c>
      <c r="S237" s="47"/>
      <c r="T237" s="514" t="s">
        <v>2201</v>
      </c>
      <c r="U237" s="29">
        <v>20000</v>
      </c>
      <c r="V237" s="396"/>
      <c r="W237" s="43" t="s">
        <v>2214</v>
      </c>
      <c r="AB237" s="47">
        <v>3</v>
      </c>
      <c r="AC237" s="92" t="s">
        <v>89</v>
      </c>
    </row>
    <row r="238" spans="1:29" ht="16" x14ac:dyDescent="0.2">
      <c r="A238" s="43" t="s">
        <v>2052</v>
      </c>
      <c r="S238" s="47">
        <v>2020</v>
      </c>
      <c r="T238" s="29">
        <v>31.12</v>
      </c>
      <c r="U238" s="29">
        <f>20000-1400</f>
        <v>18600</v>
      </c>
      <c r="V238" s="396">
        <v>-1400</v>
      </c>
      <c r="W238" s="43" t="s">
        <v>2215</v>
      </c>
      <c r="AB238" s="513">
        <f>PV(AB236,AB237,AB239,AB240)</f>
        <v>3323.0917893448377</v>
      </c>
      <c r="AC238" s="92" t="s">
        <v>281</v>
      </c>
    </row>
    <row r="239" spans="1:29" ht="16" x14ac:dyDescent="0.2">
      <c r="C239" s="59" t="s">
        <v>2053</v>
      </c>
      <c r="D239" s="59" t="s">
        <v>2054</v>
      </c>
      <c r="S239" s="47"/>
      <c r="T239" s="29">
        <v>28.2</v>
      </c>
      <c r="U239" s="29">
        <v>20000</v>
      </c>
      <c r="V239" s="396"/>
      <c r="W239" s="43" t="s">
        <v>2216</v>
      </c>
      <c r="AB239" s="47">
        <v>-1400</v>
      </c>
      <c r="AC239" s="92" t="s">
        <v>91</v>
      </c>
    </row>
    <row r="240" spans="1:29" ht="16" x14ac:dyDescent="0.2">
      <c r="C240" s="77">
        <v>0.06</v>
      </c>
      <c r="D240" s="161">
        <f>F233</f>
        <v>0.12360000000000015</v>
      </c>
      <c r="E240" s="92" t="s">
        <v>87</v>
      </c>
      <c r="S240" s="47"/>
      <c r="T240" s="29">
        <v>30.4</v>
      </c>
      <c r="U240" s="29">
        <v>20000</v>
      </c>
      <c r="V240" s="396"/>
      <c r="W240" s="43" t="s">
        <v>2217</v>
      </c>
      <c r="AB240" s="47">
        <v>0</v>
      </c>
      <c r="AC240" s="92" t="s">
        <v>105</v>
      </c>
    </row>
    <row r="241" spans="1:29" ht="16" x14ac:dyDescent="0.2">
      <c r="C241" s="43">
        <v>1</v>
      </c>
      <c r="D241" s="43">
        <v>4</v>
      </c>
      <c r="E241" s="92" t="s">
        <v>89</v>
      </c>
      <c r="S241" s="47"/>
      <c r="T241" s="29">
        <v>30.6</v>
      </c>
      <c r="U241" s="29">
        <v>20000</v>
      </c>
      <c r="V241" s="396"/>
      <c r="AB241" s="47">
        <v>0</v>
      </c>
      <c r="AC241" s="92" t="s">
        <v>328</v>
      </c>
    </row>
    <row r="242" spans="1:29" ht="16" x14ac:dyDescent="0.2">
      <c r="C242" s="291">
        <f>-D242</f>
        <v>-2411.5704120270098</v>
      </c>
      <c r="D242" s="291">
        <f>PV(D240,D241,D243,D244,D245)</f>
        <v>2411.5704120270098</v>
      </c>
      <c r="E242" s="92" t="s">
        <v>281</v>
      </c>
      <c r="S242" s="47"/>
      <c r="T242" s="29">
        <v>30.8</v>
      </c>
      <c r="U242" s="29">
        <v>20000</v>
      </c>
      <c r="V242" s="396"/>
    </row>
    <row r="243" spans="1:29" ht="16" x14ac:dyDescent="0.2">
      <c r="C243" s="43">
        <v>0</v>
      </c>
      <c r="D243" s="74">
        <v>-800</v>
      </c>
      <c r="E243" s="92" t="s">
        <v>91</v>
      </c>
      <c r="S243" s="47"/>
      <c r="T243" s="514" t="s">
        <v>2201</v>
      </c>
      <c r="U243" s="29">
        <v>20000</v>
      </c>
      <c r="V243" s="396"/>
      <c r="AB243" s="43">
        <f>-AB238*(1+12.69%)^(3/12)</f>
        <v>-3423.8417400038034</v>
      </c>
      <c r="AC243" s="43" t="s">
        <v>2218</v>
      </c>
    </row>
    <row r="244" spans="1:29" ht="16" x14ac:dyDescent="0.2">
      <c r="C244" s="287">
        <f>FV(C240,C241,C243,C242,C245)</f>
        <v>2556.2646367486304</v>
      </c>
      <c r="D244" s="74">
        <v>0</v>
      </c>
      <c r="E244" s="92" t="s">
        <v>105</v>
      </c>
      <c r="S244" s="47">
        <v>2021</v>
      </c>
      <c r="T244" s="29">
        <v>31.12</v>
      </c>
      <c r="U244" s="29">
        <f>20000-1400</f>
        <v>18600</v>
      </c>
      <c r="V244" s="396">
        <v>-1400</v>
      </c>
    </row>
    <row r="245" spans="1:29" ht="16" x14ac:dyDescent="0.2">
      <c r="C245" s="74">
        <v>0</v>
      </c>
      <c r="D245" s="43">
        <v>0</v>
      </c>
      <c r="E245" s="92" t="s">
        <v>328</v>
      </c>
      <c r="U245" s="396"/>
      <c r="V245" s="396"/>
      <c r="AB245" s="43">
        <f>AB233+AB243</f>
        <v>285005.14977651206</v>
      </c>
      <c r="AC245" s="43" t="s">
        <v>2221</v>
      </c>
    </row>
    <row r="247" spans="1:29" x14ac:dyDescent="0.2">
      <c r="A247" s="43" t="s">
        <v>2055</v>
      </c>
      <c r="W247" s="516" t="s">
        <v>2223</v>
      </c>
      <c r="X247" s="516"/>
    </row>
    <row r="248" spans="1:29" x14ac:dyDescent="0.2">
      <c r="D248" s="59" t="s">
        <v>828</v>
      </c>
      <c r="E248" s="59" t="s">
        <v>2056</v>
      </c>
      <c r="W248" s="43" t="s">
        <v>2224</v>
      </c>
    </row>
    <row r="249" spans="1:29" x14ac:dyDescent="0.2">
      <c r="D249" s="43">
        <v>0</v>
      </c>
      <c r="E249" s="43">
        <v>0</v>
      </c>
      <c r="W249" s="43" t="s">
        <v>2225</v>
      </c>
    </row>
    <row r="250" spans="1:29" x14ac:dyDescent="0.2">
      <c r="D250" s="43">
        <v>-800</v>
      </c>
      <c r="E250" s="43">
        <v>1</v>
      </c>
      <c r="W250" s="43" t="s">
        <v>2226</v>
      </c>
    </row>
    <row r="251" spans="1:29" x14ac:dyDescent="0.2">
      <c r="D251" s="43">
        <v>0</v>
      </c>
      <c r="E251" s="43">
        <v>2</v>
      </c>
      <c r="W251" s="43" t="s">
        <v>2227</v>
      </c>
    </row>
    <row r="252" spans="1:29" x14ac:dyDescent="0.2">
      <c r="D252" s="43">
        <v>-800</v>
      </c>
      <c r="E252" s="43">
        <v>3</v>
      </c>
      <c r="W252" s="43" t="s">
        <v>2228</v>
      </c>
    </row>
    <row r="253" spans="1:29" x14ac:dyDescent="0.2">
      <c r="D253" s="43">
        <v>0</v>
      </c>
      <c r="E253" s="43">
        <v>4</v>
      </c>
      <c r="W253" s="43" t="s">
        <v>2229</v>
      </c>
    </row>
    <row r="254" spans="1:29" x14ac:dyDescent="0.2">
      <c r="D254" s="43">
        <v>-800</v>
      </c>
      <c r="E254" s="43">
        <v>5</v>
      </c>
      <c r="W254" s="43" t="s">
        <v>2230</v>
      </c>
    </row>
    <row r="255" spans="1:29" x14ac:dyDescent="0.2">
      <c r="D255" s="43">
        <v>0</v>
      </c>
      <c r="E255" s="43">
        <v>6</v>
      </c>
    </row>
    <row r="256" spans="1:29" x14ac:dyDescent="0.2">
      <c r="D256" s="43">
        <v>-800</v>
      </c>
      <c r="E256" s="43">
        <v>7</v>
      </c>
    </row>
    <row r="258" spans="1:8" x14ac:dyDescent="0.2">
      <c r="A258" s="44" t="s">
        <v>2057</v>
      </c>
      <c r="D258" s="287">
        <f>NPV(C240,D250:D256)+D249</f>
        <v>-2556.2646367486313</v>
      </c>
      <c r="E258" s="43" t="s">
        <v>2035</v>
      </c>
    </row>
    <row r="263" spans="1:8" x14ac:dyDescent="0.2">
      <c r="A263" s="278" t="s">
        <v>2058</v>
      </c>
      <c r="B263" s="278"/>
      <c r="C263" s="278"/>
      <c r="D263" s="278"/>
      <c r="E263" s="278"/>
      <c r="F263" s="278"/>
      <c r="G263" s="278"/>
      <c r="H263" s="278"/>
    </row>
    <row r="281" spans="1:8" x14ac:dyDescent="0.2">
      <c r="A281" s="278" t="s">
        <v>2059</v>
      </c>
      <c r="B281" s="279"/>
      <c r="C281" s="279"/>
      <c r="D281" s="279"/>
      <c r="E281" s="279"/>
      <c r="F281" s="279"/>
      <c r="G281" s="279"/>
      <c r="H281" s="279"/>
    </row>
    <row r="283" spans="1:8" x14ac:dyDescent="0.2">
      <c r="A283" s="43" t="s">
        <v>2060</v>
      </c>
    </row>
    <row r="284" spans="1:8" x14ac:dyDescent="0.2">
      <c r="A284" s="43" t="s">
        <v>2061</v>
      </c>
    </row>
    <row r="286" spans="1:8" x14ac:dyDescent="0.2">
      <c r="B286" s="59" t="s">
        <v>2062</v>
      </c>
      <c r="C286" s="59" t="s">
        <v>450</v>
      </c>
      <c r="D286" s="59" t="s">
        <v>2063</v>
      </c>
    </row>
    <row r="287" spans="1:8" ht="16" x14ac:dyDescent="0.2">
      <c r="B287" s="77">
        <v>0.03</v>
      </c>
      <c r="C287" s="77">
        <v>0.01</v>
      </c>
      <c r="D287" s="77">
        <v>0.02</v>
      </c>
      <c r="E287" s="92" t="s">
        <v>87</v>
      </c>
    </row>
    <row r="288" spans="1:8" ht="16" x14ac:dyDescent="0.2">
      <c r="B288" s="43">
        <v>8</v>
      </c>
      <c r="C288" s="43">
        <v>4</v>
      </c>
      <c r="D288" s="43">
        <v>8</v>
      </c>
      <c r="E288" s="92" t="s">
        <v>89</v>
      </c>
    </row>
    <row r="289" spans="1:8" ht="16" x14ac:dyDescent="0.2">
      <c r="B289" s="292">
        <f>-C291</f>
        <v>48769.338009003019</v>
      </c>
      <c r="C289" s="291">
        <f>-D291</f>
        <v>46866.375240090623</v>
      </c>
      <c r="D289" s="74">
        <v>40000</v>
      </c>
      <c r="E289" s="92" t="s">
        <v>281</v>
      </c>
    </row>
    <row r="290" spans="1:8" ht="16" x14ac:dyDescent="0.2">
      <c r="B290" s="43">
        <f>C290</f>
        <v>0</v>
      </c>
      <c r="C290" s="43">
        <f>D290</f>
        <v>0</v>
      </c>
      <c r="D290" s="43">
        <v>0</v>
      </c>
      <c r="E290" s="92" t="s">
        <v>91</v>
      </c>
    </row>
    <row r="291" spans="1:8" ht="16" x14ac:dyDescent="0.2">
      <c r="B291" s="286">
        <f t="shared" ref="B291:C291" si="3">FV(B287,B288,B290,B289,B292)</f>
        <v>-61779.538278884902</v>
      </c>
      <c r="C291" s="292">
        <f t="shared" si="3"/>
        <v>-48769.338009003019</v>
      </c>
      <c r="D291" s="291">
        <f>FV(D287,D288,D290,D289,D292)</f>
        <v>-46866.375240090623</v>
      </c>
      <c r="E291" s="92" t="s">
        <v>105</v>
      </c>
    </row>
    <row r="292" spans="1:8" ht="16" x14ac:dyDescent="0.2">
      <c r="B292" s="43">
        <v>0</v>
      </c>
      <c r="C292" s="43">
        <v>0</v>
      </c>
      <c r="D292" s="43">
        <v>0</v>
      </c>
      <c r="E292" s="92" t="s">
        <v>328</v>
      </c>
    </row>
    <row r="293" spans="1:8" ht="16" x14ac:dyDescent="0.2">
      <c r="E293" s="92"/>
    </row>
    <row r="294" spans="1:8" ht="16" thickBot="1" x14ac:dyDescent="0.25">
      <c r="A294" s="44" t="s">
        <v>2025</v>
      </c>
    </row>
    <row r="295" spans="1:8" x14ac:dyDescent="0.2">
      <c r="A295" s="277"/>
      <c r="B295" s="212"/>
      <c r="C295" s="212"/>
      <c r="D295" s="212"/>
      <c r="E295" s="212"/>
      <c r="F295" s="212"/>
      <c r="G295" s="212"/>
      <c r="H295" s="213"/>
    </row>
    <row r="296" spans="1:8" x14ac:dyDescent="0.2">
      <c r="A296" s="276"/>
      <c r="H296" s="215"/>
    </row>
    <row r="297" spans="1:8" x14ac:dyDescent="0.2">
      <c r="A297" s="276"/>
      <c r="H297" s="215"/>
    </row>
    <row r="298" spans="1:8" x14ac:dyDescent="0.2">
      <c r="A298" s="276"/>
      <c r="H298" s="215"/>
    </row>
    <row r="299" spans="1:8" x14ac:dyDescent="0.2">
      <c r="A299" s="276"/>
      <c r="H299" s="215"/>
    </row>
    <row r="300" spans="1:8" x14ac:dyDescent="0.2">
      <c r="A300" s="276"/>
      <c r="H300" s="215"/>
    </row>
    <row r="301" spans="1:8" x14ac:dyDescent="0.2">
      <c r="A301" s="276"/>
      <c r="H301" s="215"/>
    </row>
    <row r="302" spans="1:8" x14ac:dyDescent="0.2">
      <c r="A302" s="276"/>
      <c r="H302" s="215"/>
    </row>
    <row r="303" spans="1:8" x14ac:dyDescent="0.2">
      <c r="A303" s="276"/>
      <c r="H303" s="215"/>
    </row>
    <row r="304" spans="1:8" x14ac:dyDescent="0.2">
      <c r="A304" s="276"/>
      <c r="H304" s="215"/>
    </row>
    <row r="305" spans="1:8" ht="16" thickBot="1" x14ac:dyDescent="0.25">
      <c r="A305" s="234"/>
      <c r="B305" s="217"/>
      <c r="C305" s="217"/>
      <c r="D305" s="217"/>
      <c r="E305" s="217"/>
      <c r="F305" s="217"/>
      <c r="G305" s="217"/>
      <c r="H305" s="218"/>
    </row>
    <row r="308" spans="1:8" x14ac:dyDescent="0.2">
      <c r="A308" s="278" t="s">
        <v>2064</v>
      </c>
      <c r="B308" s="278"/>
      <c r="C308" s="278"/>
      <c r="D308" s="278"/>
      <c r="E308" s="278"/>
      <c r="F308" s="278"/>
      <c r="G308" s="278"/>
      <c r="H308" s="278"/>
    </row>
    <row r="326" spans="1:8" x14ac:dyDescent="0.2">
      <c r="A326" s="278" t="s">
        <v>2065</v>
      </c>
      <c r="B326" s="278"/>
      <c r="C326" s="278"/>
      <c r="D326" s="278"/>
      <c r="E326" s="278"/>
      <c r="F326" s="278"/>
      <c r="G326" s="278"/>
      <c r="H326" s="278"/>
    </row>
    <row r="327" spans="1:8" x14ac:dyDescent="0.2">
      <c r="A327" s="43" t="s">
        <v>2066</v>
      </c>
    </row>
    <row r="328" spans="1:8" x14ac:dyDescent="0.2">
      <c r="A328" s="43" t="s">
        <v>2067</v>
      </c>
    </row>
    <row r="329" spans="1:8" x14ac:dyDescent="0.2">
      <c r="A329" s="43" t="s">
        <v>2068</v>
      </c>
    </row>
    <row r="331" spans="1:8" x14ac:dyDescent="0.2">
      <c r="C331" s="59" t="s">
        <v>2069</v>
      </c>
      <c r="D331" s="59" t="s">
        <v>2070</v>
      </c>
    </row>
    <row r="332" spans="1:8" ht="16" x14ac:dyDescent="0.2">
      <c r="C332" s="77">
        <f>D332</f>
        <v>0.02</v>
      </c>
      <c r="D332" s="77">
        <v>0.02</v>
      </c>
      <c r="E332" s="92" t="s">
        <v>87</v>
      </c>
    </row>
    <row r="333" spans="1:8" ht="16" x14ac:dyDescent="0.2">
      <c r="C333" s="43">
        <v>4</v>
      </c>
      <c r="D333" s="43">
        <v>4</v>
      </c>
      <c r="E333" s="92" t="s">
        <v>89</v>
      </c>
    </row>
    <row r="334" spans="1:8" ht="16" x14ac:dyDescent="0.2">
      <c r="C334" s="287">
        <f>PV(C332,C333,C335,C336,C337)</f>
        <v>-18532.08993526515</v>
      </c>
      <c r="D334" s="291">
        <f>PV(D332,D333,D335,D336,D337)</f>
        <v>-11651.64981794332</v>
      </c>
      <c r="E334" s="92" t="s">
        <v>281</v>
      </c>
    </row>
    <row r="335" spans="1:8" ht="16" x14ac:dyDescent="0.2">
      <c r="C335" s="74">
        <v>2000</v>
      </c>
      <c r="D335" s="74">
        <v>3000</v>
      </c>
      <c r="E335" s="92" t="s">
        <v>91</v>
      </c>
    </row>
    <row r="336" spans="1:8" ht="16" x14ac:dyDescent="0.2">
      <c r="C336" s="291">
        <f>-D334</f>
        <v>11651.64981794332</v>
      </c>
      <c r="D336" s="74">
        <v>0</v>
      </c>
      <c r="E336" s="92" t="s">
        <v>105</v>
      </c>
    </row>
    <row r="337" spans="1:5" ht="16" x14ac:dyDescent="0.2">
      <c r="C337" s="43">
        <v>1</v>
      </c>
      <c r="D337" s="43">
        <v>1</v>
      </c>
      <c r="E337" s="92" t="s">
        <v>328</v>
      </c>
    </row>
    <row r="338" spans="1:5" ht="16" x14ac:dyDescent="0.2">
      <c r="E338" s="92"/>
    </row>
    <row r="339" spans="1:5" ht="16" x14ac:dyDescent="0.2">
      <c r="A339" s="43" t="s">
        <v>2071</v>
      </c>
      <c r="E339" s="92"/>
    </row>
    <row r="340" spans="1:5" ht="16" x14ac:dyDescent="0.2">
      <c r="A340" s="43" t="s">
        <v>2072</v>
      </c>
      <c r="E340" s="92"/>
    </row>
    <row r="341" spans="1:5" ht="16" x14ac:dyDescent="0.2">
      <c r="E341" s="92"/>
    </row>
    <row r="342" spans="1:5" ht="64" x14ac:dyDescent="0.2">
      <c r="C342" s="300" t="s">
        <v>2073</v>
      </c>
      <c r="D342" s="299" t="s">
        <v>2074</v>
      </c>
      <c r="E342" s="92"/>
    </row>
    <row r="343" spans="1:5" ht="16" x14ac:dyDescent="0.2">
      <c r="C343" s="301">
        <v>2000</v>
      </c>
      <c r="D343" s="74">
        <v>0</v>
      </c>
      <c r="E343" s="105">
        <v>0</v>
      </c>
    </row>
    <row r="344" spans="1:5" ht="16" x14ac:dyDescent="0.2">
      <c r="C344" s="301">
        <f>C343</f>
        <v>2000</v>
      </c>
      <c r="D344" s="74">
        <v>2000</v>
      </c>
      <c r="E344" s="105">
        <v>1</v>
      </c>
    </row>
    <row r="345" spans="1:5" ht="16" x14ac:dyDescent="0.2">
      <c r="C345" s="301">
        <f>C344</f>
        <v>2000</v>
      </c>
      <c r="D345" s="74">
        <f>D344</f>
        <v>2000</v>
      </c>
      <c r="E345" s="105">
        <f>E344+1</f>
        <v>2</v>
      </c>
    </row>
    <row r="346" spans="1:5" ht="16" x14ac:dyDescent="0.2">
      <c r="C346" s="301">
        <f>C345</f>
        <v>2000</v>
      </c>
      <c r="D346" s="74">
        <f>D345</f>
        <v>2000</v>
      </c>
      <c r="E346" s="105">
        <f t="shared" ref="E346:E351" si="4">E345+1</f>
        <v>3</v>
      </c>
    </row>
    <row r="347" spans="1:5" ht="16" x14ac:dyDescent="0.2">
      <c r="C347" s="301">
        <v>3000</v>
      </c>
      <c r="D347" s="74">
        <f>D346</f>
        <v>2000</v>
      </c>
      <c r="E347" s="105">
        <f t="shared" si="4"/>
        <v>4</v>
      </c>
    </row>
    <row r="348" spans="1:5" ht="16" x14ac:dyDescent="0.2">
      <c r="C348" s="301">
        <f>C347</f>
        <v>3000</v>
      </c>
      <c r="D348" s="74">
        <v>3000</v>
      </c>
      <c r="E348" s="105">
        <f t="shared" si="4"/>
        <v>5</v>
      </c>
    </row>
    <row r="349" spans="1:5" ht="16" x14ac:dyDescent="0.2">
      <c r="C349" s="301">
        <f>C348</f>
        <v>3000</v>
      </c>
      <c r="D349" s="74">
        <f>D348</f>
        <v>3000</v>
      </c>
      <c r="E349" s="105">
        <f t="shared" si="4"/>
        <v>6</v>
      </c>
    </row>
    <row r="350" spans="1:5" ht="16" x14ac:dyDescent="0.2">
      <c r="C350" s="301">
        <f>C349</f>
        <v>3000</v>
      </c>
      <c r="D350" s="74">
        <f>D349</f>
        <v>3000</v>
      </c>
      <c r="E350" s="105">
        <f t="shared" si="4"/>
        <v>7</v>
      </c>
    </row>
    <row r="351" spans="1:5" ht="16" x14ac:dyDescent="0.2">
      <c r="C351" s="301">
        <v>0</v>
      </c>
      <c r="D351" s="74">
        <f>D350</f>
        <v>3000</v>
      </c>
      <c r="E351" s="105">
        <f t="shared" si="4"/>
        <v>8</v>
      </c>
    </row>
    <row r="352" spans="1:5" ht="16" x14ac:dyDescent="0.2">
      <c r="E352" s="92"/>
    </row>
    <row r="353" spans="1:8" ht="16" x14ac:dyDescent="0.2">
      <c r="B353" s="43" t="s">
        <v>2075</v>
      </c>
      <c r="C353" s="287">
        <f>NPV(2%,C344:C351)+C343</f>
        <v>18532.089935265158</v>
      </c>
      <c r="E353" s="92"/>
    </row>
    <row r="354" spans="1:8" ht="16" x14ac:dyDescent="0.2">
      <c r="E354" s="92"/>
    </row>
    <row r="356" spans="1:8" ht="16" thickBot="1" x14ac:dyDescent="0.25">
      <c r="A356" s="44" t="s">
        <v>2025</v>
      </c>
    </row>
    <row r="357" spans="1:8" x14ac:dyDescent="0.2">
      <c r="A357" s="277"/>
      <c r="B357" s="212"/>
      <c r="C357" s="212"/>
      <c r="D357" s="212"/>
      <c r="E357" s="212"/>
      <c r="F357" s="212"/>
      <c r="G357" s="212"/>
      <c r="H357" s="213"/>
    </row>
    <row r="358" spans="1:8" x14ac:dyDescent="0.2">
      <c r="A358" s="276"/>
      <c r="H358" s="215"/>
    </row>
    <row r="359" spans="1:8" x14ac:dyDescent="0.2">
      <c r="A359" s="276"/>
      <c r="H359" s="215"/>
    </row>
    <row r="360" spans="1:8" x14ac:dyDescent="0.2">
      <c r="A360" s="276"/>
      <c r="H360" s="215"/>
    </row>
    <row r="361" spans="1:8" x14ac:dyDescent="0.2">
      <c r="A361" s="276"/>
      <c r="H361" s="215"/>
    </row>
    <row r="362" spans="1:8" x14ac:dyDescent="0.2">
      <c r="A362" s="276"/>
      <c r="H362" s="215"/>
    </row>
    <row r="363" spans="1:8" x14ac:dyDescent="0.2">
      <c r="A363" s="276"/>
      <c r="H363" s="215"/>
    </row>
    <row r="364" spans="1:8" x14ac:dyDescent="0.2">
      <c r="A364" s="276"/>
      <c r="H364" s="215"/>
    </row>
    <row r="365" spans="1:8" x14ac:dyDescent="0.2">
      <c r="A365" s="276"/>
      <c r="H365" s="215"/>
    </row>
    <row r="366" spans="1:8" x14ac:dyDescent="0.2">
      <c r="A366" s="276"/>
      <c r="H366" s="215"/>
    </row>
    <row r="367" spans="1:8" ht="16" thickBot="1" x14ac:dyDescent="0.25">
      <c r="A367" s="234"/>
      <c r="B367" s="217"/>
      <c r="C367" s="217"/>
      <c r="D367" s="217"/>
      <c r="E367" s="217"/>
      <c r="F367" s="217"/>
      <c r="G367" s="217"/>
      <c r="H367" s="218"/>
    </row>
    <row r="369" spans="1:8" x14ac:dyDescent="0.2">
      <c r="A369" s="278" t="s">
        <v>2076</v>
      </c>
      <c r="B369" s="278"/>
      <c r="C369" s="278"/>
      <c r="D369" s="278"/>
      <c r="E369" s="278"/>
      <c r="F369" s="278"/>
      <c r="G369" s="278"/>
      <c r="H369" s="278"/>
    </row>
    <row r="389" spans="1:8" x14ac:dyDescent="0.2">
      <c r="A389" s="278" t="s">
        <v>2077</v>
      </c>
      <c r="B389" s="278"/>
      <c r="C389" s="278"/>
      <c r="D389" s="278"/>
      <c r="E389" s="278"/>
      <c r="F389" s="278"/>
      <c r="G389" s="278"/>
      <c r="H389" s="278"/>
    </row>
    <row r="390" spans="1:8" x14ac:dyDescent="0.2">
      <c r="A390" s="43" t="s">
        <v>2078</v>
      </c>
    </row>
    <row r="391" spans="1:8" x14ac:dyDescent="0.2">
      <c r="A391" s="43" t="s">
        <v>2079</v>
      </c>
    </row>
    <row r="393" spans="1:8" x14ac:dyDescent="0.2">
      <c r="B393" s="59" t="s">
        <v>2080</v>
      </c>
      <c r="C393" s="59" t="s">
        <v>2081</v>
      </c>
      <c r="D393" s="59" t="s">
        <v>2082</v>
      </c>
    </row>
    <row r="394" spans="1:8" ht="16" x14ac:dyDescent="0.2">
      <c r="B394" s="77">
        <f>C394</f>
        <v>0.03</v>
      </c>
      <c r="C394" s="77">
        <f>D394</f>
        <v>0.03</v>
      </c>
      <c r="D394" s="77">
        <v>0.03</v>
      </c>
      <c r="E394" s="92" t="s">
        <v>87</v>
      </c>
    </row>
    <row r="395" spans="1:8" ht="16" x14ac:dyDescent="0.2">
      <c r="B395" s="43">
        <v>6</v>
      </c>
      <c r="C395" s="43">
        <v>6</v>
      </c>
      <c r="D395" s="43">
        <v>12</v>
      </c>
      <c r="E395" s="92" t="s">
        <v>89</v>
      </c>
    </row>
    <row r="396" spans="1:8" ht="16" x14ac:dyDescent="0.2">
      <c r="B396" s="287">
        <f>PV(B394,B395,B397,B398,B399)</f>
        <v>-251391.99514767886</v>
      </c>
      <c r="C396" s="293">
        <f>PV(C394,C395,C397,C398,C399)</f>
        <v>-222554.27052349318</v>
      </c>
      <c r="D396" s="291">
        <f>PV(D394,D395,D397,D398,D399)</f>
        <v>-149310.05990351338</v>
      </c>
      <c r="E396" s="92" t="s">
        <v>281</v>
      </c>
    </row>
    <row r="397" spans="1:8" ht="16" x14ac:dyDescent="0.2">
      <c r="B397" s="74">
        <v>12000</v>
      </c>
      <c r="C397" s="74">
        <v>18000</v>
      </c>
      <c r="D397" s="74">
        <v>15000</v>
      </c>
      <c r="E397" s="92" t="s">
        <v>91</v>
      </c>
    </row>
    <row r="398" spans="1:8" ht="16" x14ac:dyDescent="0.2">
      <c r="B398" s="293">
        <f>-C396</f>
        <v>222554.27052349318</v>
      </c>
      <c r="C398" s="291">
        <f>-D396</f>
        <v>149310.05990351338</v>
      </c>
      <c r="D398" s="74">
        <v>0</v>
      </c>
      <c r="E398" s="92" t="s">
        <v>105</v>
      </c>
    </row>
    <row r="399" spans="1:8" ht="16" x14ac:dyDescent="0.2">
      <c r="A399" s="185"/>
      <c r="B399" s="43">
        <v>0</v>
      </c>
      <c r="C399" s="43">
        <v>0</v>
      </c>
      <c r="D399" s="43">
        <v>0</v>
      </c>
      <c r="E399" s="92" t="s">
        <v>328</v>
      </c>
    </row>
    <row r="400" spans="1:8" x14ac:dyDescent="0.2">
      <c r="A400" s="74"/>
      <c r="B400" s="47"/>
    </row>
    <row r="401" spans="1:14" ht="16" thickBot="1" x14ac:dyDescent="0.25">
      <c r="A401" s="44" t="s">
        <v>2025</v>
      </c>
    </row>
    <row r="402" spans="1:14" x14ac:dyDescent="0.2">
      <c r="A402" s="277"/>
      <c r="B402" s="212"/>
      <c r="C402" s="212"/>
      <c r="D402" s="212"/>
      <c r="E402" s="212"/>
      <c r="F402" s="212"/>
      <c r="G402" s="212"/>
      <c r="H402" s="213"/>
    </row>
    <row r="403" spans="1:14" x14ac:dyDescent="0.2">
      <c r="A403" s="276"/>
      <c r="H403" s="215"/>
    </row>
    <row r="404" spans="1:14" x14ac:dyDescent="0.2">
      <c r="A404" s="276"/>
      <c r="H404" s="215"/>
    </row>
    <row r="405" spans="1:14" x14ac:dyDescent="0.2">
      <c r="A405" s="276"/>
      <c r="H405" s="215"/>
    </row>
    <row r="406" spans="1:14" x14ac:dyDescent="0.2">
      <c r="A406" s="276"/>
      <c r="H406" s="215"/>
    </row>
    <row r="407" spans="1:14" x14ac:dyDescent="0.2">
      <c r="A407" s="276"/>
      <c r="H407" s="215"/>
    </row>
    <row r="408" spans="1:14" x14ac:dyDescent="0.2">
      <c r="A408" s="276"/>
      <c r="H408" s="215"/>
    </row>
    <row r="409" spans="1:14" x14ac:dyDescent="0.2">
      <c r="A409" s="276"/>
      <c r="H409" s="215"/>
    </row>
    <row r="410" spans="1:14" x14ac:dyDescent="0.2">
      <c r="A410" s="276"/>
      <c r="H410" s="215"/>
    </row>
    <row r="411" spans="1:14" x14ac:dyDescent="0.2">
      <c r="A411" s="276"/>
      <c r="H411" s="215"/>
    </row>
    <row r="412" spans="1:14" ht="16" thickBot="1" x14ac:dyDescent="0.25">
      <c r="A412" s="234"/>
      <c r="B412" s="217"/>
      <c r="C412" s="217"/>
      <c r="D412" s="217"/>
      <c r="E412" s="217"/>
      <c r="F412" s="217"/>
      <c r="G412" s="217"/>
      <c r="H412" s="218"/>
    </row>
    <row r="413" spans="1:14" x14ac:dyDescent="0.2">
      <c r="B413" s="272"/>
    </row>
    <row r="414" spans="1:14" x14ac:dyDescent="0.2">
      <c r="B414" s="272"/>
    </row>
    <row r="415" spans="1:14" x14ac:dyDescent="0.2">
      <c r="A415" s="278" t="s">
        <v>2083</v>
      </c>
      <c r="B415" s="278"/>
      <c r="C415" s="278"/>
      <c r="D415" s="278"/>
      <c r="E415" s="278"/>
      <c r="F415" s="278"/>
      <c r="G415" s="278"/>
      <c r="H415" s="278"/>
      <c r="I415" s="247" t="s">
        <v>3415</v>
      </c>
      <c r="J415" s="728"/>
      <c r="K415" s="728"/>
      <c r="L415" s="728"/>
      <c r="M415" s="728"/>
      <c r="N415" s="728"/>
    </row>
    <row r="417" spans="9:17" x14ac:dyDescent="0.2">
      <c r="I417" s="729" t="s">
        <v>3418</v>
      </c>
      <c r="J417" s="729"/>
      <c r="K417" s="729"/>
      <c r="L417" s="729"/>
      <c r="M417" s="729"/>
      <c r="N417" s="729"/>
      <c r="O417" s="729"/>
      <c r="P417" s="729"/>
      <c r="Q417" s="729"/>
    </row>
    <row r="418" spans="9:17" x14ac:dyDescent="0.2">
      <c r="I418" s="729" t="s">
        <v>3416</v>
      </c>
      <c r="J418" s="729"/>
      <c r="K418" s="729"/>
      <c r="L418" s="729"/>
      <c r="M418" s="729"/>
      <c r="N418" s="729"/>
      <c r="O418" s="729"/>
      <c r="P418" s="729"/>
      <c r="Q418" s="729"/>
    </row>
    <row r="419" spans="9:17" x14ac:dyDescent="0.2">
      <c r="I419" s="729" t="s">
        <v>3417</v>
      </c>
      <c r="J419" s="729"/>
      <c r="K419" s="729"/>
      <c r="L419" s="729"/>
      <c r="M419" s="729"/>
      <c r="N419" s="729"/>
      <c r="O419" s="729"/>
      <c r="P419" s="729"/>
      <c r="Q419" s="729"/>
    </row>
    <row r="421" spans="9:17" x14ac:dyDescent="0.2">
      <c r="J421" s="43" t="s">
        <v>764</v>
      </c>
    </row>
    <row r="423" spans="9:17" x14ac:dyDescent="0.2">
      <c r="J423" s="47">
        <v>1</v>
      </c>
      <c r="K423" s="47"/>
      <c r="L423" s="47"/>
      <c r="M423" s="47">
        <v>0</v>
      </c>
    </row>
    <row r="425" spans="9:17" x14ac:dyDescent="0.2">
      <c r="J425" s="519">
        <f>-M425</f>
        <v>-100</v>
      </c>
      <c r="M425" s="47">
        <v>100</v>
      </c>
      <c r="O425" s="72">
        <f>ABS(J425)/M427-1</f>
        <v>6.3829787234042534E-2</v>
      </c>
    </row>
    <row r="426" spans="9:17" x14ac:dyDescent="0.2">
      <c r="M426" s="47">
        <f>-6%*M425</f>
        <v>-6</v>
      </c>
      <c r="O426" s="72"/>
    </row>
    <row r="427" spans="9:17" x14ac:dyDescent="0.2">
      <c r="M427" s="518">
        <f>M425+M426</f>
        <v>94</v>
      </c>
      <c r="O427" s="72"/>
    </row>
    <row r="428" spans="9:17" x14ac:dyDescent="0.2">
      <c r="J428" s="43" t="s">
        <v>2085</v>
      </c>
      <c r="O428" s="72"/>
    </row>
    <row r="429" spans="9:17" x14ac:dyDescent="0.2">
      <c r="J429" s="47">
        <v>1</v>
      </c>
      <c r="K429" s="47"/>
      <c r="L429" s="47"/>
      <c r="M429" s="47">
        <v>0</v>
      </c>
      <c r="O429" s="72"/>
    </row>
    <row r="430" spans="9:17" x14ac:dyDescent="0.2">
      <c r="O430" s="72"/>
    </row>
    <row r="431" spans="9:17" x14ac:dyDescent="0.2">
      <c r="J431" s="519">
        <f>-100*(1+2%/2)^2</f>
        <v>-102.01</v>
      </c>
      <c r="M431" s="47">
        <v>100</v>
      </c>
      <c r="O431" s="72">
        <f>ABS(J431)/M433-1</f>
        <v>6.2604166666666794E-2</v>
      </c>
    </row>
    <row r="432" spans="9:17" x14ac:dyDescent="0.2">
      <c r="M432" s="47">
        <v>-4</v>
      </c>
    </row>
    <row r="433" spans="1:13" x14ac:dyDescent="0.2">
      <c r="M433" s="518">
        <f>M431+M432</f>
        <v>96</v>
      </c>
    </row>
    <row r="434" spans="1:13" x14ac:dyDescent="0.2">
      <c r="A434" s="278" t="s">
        <v>2084</v>
      </c>
      <c r="B434" s="278"/>
      <c r="C434" s="278"/>
      <c r="D434" s="278"/>
      <c r="E434" s="278"/>
      <c r="F434" s="278"/>
      <c r="G434" s="278"/>
      <c r="H434" s="278"/>
    </row>
    <row r="436" spans="1:13" x14ac:dyDescent="0.2">
      <c r="A436" s="652" t="s">
        <v>3419</v>
      </c>
      <c r="B436" s="59"/>
      <c r="C436" s="59"/>
      <c r="D436" s="59"/>
      <c r="E436" s="59"/>
      <c r="F436" s="59"/>
      <c r="G436" s="59"/>
      <c r="H436" s="59"/>
    </row>
    <row r="438" spans="1:13" x14ac:dyDescent="0.2">
      <c r="A438" s="43" t="s">
        <v>3420</v>
      </c>
    </row>
    <row r="439" spans="1:13" x14ac:dyDescent="0.2">
      <c r="A439" s="43" t="s">
        <v>3421</v>
      </c>
    </row>
    <row r="441" spans="1:13" x14ac:dyDescent="0.2">
      <c r="A441" s="43" t="s">
        <v>3422</v>
      </c>
    </row>
    <row r="442" spans="1:13" x14ac:dyDescent="0.2">
      <c r="A442" s="43" t="s">
        <v>3423</v>
      </c>
    </row>
    <row r="444" spans="1:13" x14ac:dyDescent="0.2">
      <c r="A444" s="43" t="s">
        <v>3424</v>
      </c>
    </row>
    <row r="446" spans="1:13" x14ac:dyDescent="0.2">
      <c r="A446" s="43" t="s">
        <v>3427</v>
      </c>
      <c r="F446" s="149" t="s">
        <v>3426</v>
      </c>
      <c r="G446" s="43" t="s">
        <v>3425</v>
      </c>
    </row>
    <row r="448" spans="1:13" x14ac:dyDescent="0.2">
      <c r="A448" s="43" t="s">
        <v>3428</v>
      </c>
    </row>
    <row r="449" spans="1:8" x14ac:dyDescent="0.2">
      <c r="A449" s="43" t="s">
        <v>3429</v>
      </c>
    </row>
    <row r="450" spans="1:8" x14ac:dyDescent="0.2">
      <c r="A450" s="43" t="s">
        <v>3432</v>
      </c>
      <c r="C450" s="730">
        <f>1.015^4-1</f>
        <v>6.136355062499943E-2</v>
      </c>
      <c r="F450" s="149" t="s">
        <v>3431</v>
      </c>
      <c r="G450" s="43" t="s">
        <v>3430</v>
      </c>
    </row>
    <row r="452" spans="1:8" x14ac:dyDescent="0.2">
      <c r="A452" s="729" t="s">
        <v>3433</v>
      </c>
      <c r="B452" s="729"/>
      <c r="C452" s="729"/>
      <c r="D452" s="729"/>
      <c r="E452" s="729"/>
      <c r="F452" s="729"/>
      <c r="G452" s="729"/>
      <c r="H452" s="729"/>
    </row>
    <row r="453" spans="1:8" x14ac:dyDescent="0.2">
      <c r="A453" s="729"/>
      <c r="B453" s="729"/>
      <c r="C453" s="729"/>
      <c r="D453" s="729"/>
      <c r="E453" s="729"/>
      <c r="F453" s="729"/>
      <c r="G453" s="729"/>
      <c r="H453" s="729"/>
    </row>
    <row r="454" spans="1:8" x14ac:dyDescent="0.2">
      <c r="A454" s="729"/>
      <c r="B454" s="729"/>
      <c r="C454" s="729"/>
      <c r="D454" s="729"/>
      <c r="E454" s="729"/>
      <c r="F454" s="729"/>
      <c r="G454" s="729"/>
      <c r="H454" s="729"/>
    </row>
    <row r="456" spans="1:8" x14ac:dyDescent="0.2">
      <c r="A456" s="652" t="s">
        <v>3434</v>
      </c>
      <c r="B456" s="59"/>
      <c r="C456" s="59"/>
      <c r="D456" s="59"/>
      <c r="E456" s="59"/>
      <c r="F456" s="59"/>
      <c r="G456" s="59"/>
      <c r="H456" s="59"/>
    </row>
    <row r="457" spans="1:8" x14ac:dyDescent="0.2">
      <c r="A457" s="732" t="s">
        <v>3435</v>
      </c>
      <c r="B457" s="732"/>
      <c r="C457" s="732"/>
      <c r="D457" s="732"/>
      <c r="E457" s="732"/>
      <c r="F457" s="732"/>
      <c r="G457" s="732"/>
      <c r="H457" s="732"/>
    </row>
    <row r="458" spans="1:8" x14ac:dyDescent="0.2">
      <c r="A458" s="732" t="s">
        <v>3436</v>
      </c>
      <c r="B458" s="732"/>
      <c r="C458" s="732"/>
      <c r="D458" s="732"/>
      <c r="E458" s="732"/>
      <c r="F458" s="732"/>
      <c r="G458" s="732"/>
      <c r="H458" s="732"/>
    </row>
    <row r="459" spans="1:8" x14ac:dyDescent="0.2">
      <c r="A459" s="732" t="s">
        <v>3437</v>
      </c>
      <c r="B459" s="732"/>
      <c r="C459" s="732"/>
      <c r="D459" s="732"/>
      <c r="E459" s="732"/>
      <c r="F459" s="732"/>
      <c r="G459" s="732"/>
      <c r="H459" s="732"/>
    </row>
    <row r="460" spans="1:8" x14ac:dyDescent="0.2">
      <c r="A460" s="732" t="s">
        <v>3438</v>
      </c>
      <c r="B460" s="732"/>
      <c r="C460" s="732"/>
      <c r="D460" s="732"/>
      <c r="E460" s="732"/>
      <c r="F460" s="732"/>
      <c r="G460" s="732"/>
      <c r="H460" s="732"/>
    </row>
    <row r="461" spans="1:8" x14ac:dyDescent="0.2">
      <c r="A461" s="731"/>
      <c r="B461" s="732"/>
      <c r="C461" s="732"/>
      <c r="D461" s="732"/>
      <c r="E461" s="732"/>
      <c r="F461" s="732"/>
      <c r="G461" s="732"/>
      <c r="H461" s="732"/>
    </row>
    <row r="462" spans="1:8" x14ac:dyDescent="0.2">
      <c r="A462" s="731" t="s">
        <v>3439</v>
      </c>
      <c r="B462" s="732"/>
      <c r="C462" s="732"/>
      <c r="D462" s="732"/>
      <c r="E462" s="732"/>
      <c r="F462" s="732"/>
      <c r="G462" s="732"/>
      <c r="H462" s="732"/>
    </row>
    <row r="463" spans="1:8" x14ac:dyDescent="0.2">
      <c r="A463" s="731"/>
      <c r="B463" s="732"/>
      <c r="C463" s="732"/>
      <c r="D463" s="733" t="s">
        <v>3443</v>
      </c>
      <c r="E463" s="732"/>
      <c r="F463" s="732"/>
      <c r="G463" s="732" t="s">
        <v>3440</v>
      </c>
      <c r="H463" s="732"/>
    </row>
    <row r="464" spans="1:8" x14ac:dyDescent="0.2">
      <c r="A464" s="731"/>
      <c r="B464" s="732"/>
      <c r="C464" s="732"/>
      <c r="D464" s="49">
        <v>1</v>
      </c>
      <c r="E464" s="49"/>
      <c r="F464" s="49"/>
      <c r="G464" s="49">
        <v>0</v>
      </c>
      <c r="H464" s="732" t="s">
        <v>2056</v>
      </c>
    </row>
    <row r="465" spans="1:8" x14ac:dyDescent="0.2">
      <c r="A465" s="731"/>
      <c r="B465" s="732" t="s">
        <v>3442</v>
      </c>
      <c r="C465" s="732"/>
      <c r="D465" s="733">
        <v>-1</v>
      </c>
      <c r="E465" s="733"/>
      <c r="F465" s="733"/>
      <c r="G465" s="733">
        <v>1</v>
      </c>
      <c r="H465" s="732" t="s">
        <v>3441</v>
      </c>
    </row>
    <row r="466" spans="1:8" x14ac:dyDescent="0.2">
      <c r="A466" s="731"/>
      <c r="B466" s="732"/>
      <c r="C466" s="732"/>
      <c r="D466" s="733"/>
      <c r="E466" s="733"/>
      <c r="F466" s="733"/>
      <c r="G466" s="733">
        <f>-6%*G465</f>
        <v>-0.06</v>
      </c>
      <c r="H466" s="732" t="s">
        <v>3444</v>
      </c>
    </row>
    <row r="467" spans="1:8" x14ac:dyDescent="0.2">
      <c r="A467" s="731"/>
      <c r="B467" s="732" t="s">
        <v>3448</v>
      </c>
      <c r="C467" s="732"/>
      <c r="D467" s="734">
        <f>D465</f>
        <v>-1</v>
      </c>
      <c r="E467" s="733"/>
      <c r="F467" s="733"/>
      <c r="G467" s="734">
        <f>G465+G466</f>
        <v>0.94</v>
      </c>
      <c r="H467" s="732" t="s">
        <v>3447</v>
      </c>
    </row>
    <row r="468" spans="1:8" x14ac:dyDescent="0.2">
      <c r="A468" s="731"/>
      <c r="B468" s="732"/>
      <c r="C468" s="732"/>
      <c r="D468" s="732"/>
      <c r="E468" s="732"/>
      <c r="F468" s="732"/>
      <c r="G468" s="732"/>
      <c r="H468" s="732"/>
    </row>
    <row r="469" spans="1:8" x14ac:dyDescent="0.2">
      <c r="A469" s="732" t="s">
        <v>3445</v>
      </c>
      <c r="B469" s="732"/>
      <c r="C469" s="732"/>
      <c r="D469" s="732"/>
      <c r="E469" s="732"/>
      <c r="F469" s="732"/>
      <c r="G469" s="732"/>
      <c r="H469" s="732"/>
    </row>
    <row r="470" spans="1:8" x14ac:dyDescent="0.2">
      <c r="A470" s="732" t="s">
        <v>3446</v>
      </c>
      <c r="B470" s="732"/>
      <c r="C470" s="732"/>
      <c r="D470" s="732"/>
      <c r="E470" s="732"/>
      <c r="F470" s="732"/>
      <c r="G470" s="732"/>
      <c r="H470" s="732"/>
    </row>
    <row r="471" spans="1:8" x14ac:dyDescent="0.2">
      <c r="A471" s="731"/>
      <c r="B471" s="732"/>
      <c r="C471" s="732"/>
      <c r="D471" s="732"/>
      <c r="E471" s="732"/>
      <c r="F471" s="732"/>
      <c r="G471" s="732"/>
      <c r="H471" s="732"/>
    </row>
    <row r="472" spans="1:8" x14ac:dyDescent="0.2">
      <c r="A472" s="732" t="s">
        <v>3449</v>
      </c>
      <c r="B472" s="732"/>
      <c r="C472" s="730">
        <f>1/0.94-1</f>
        <v>6.3829787234042534E-2</v>
      </c>
      <c r="D472" s="732"/>
      <c r="E472" s="732"/>
      <c r="F472" s="732"/>
      <c r="G472" s="732"/>
      <c r="H472" s="732"/>
    </row>
    <row r="473" spans="1:8" x14ac:dyDescent="0.2">
      <c r="A473" s="731"/>
      <c r="B473" s="732"/>
      <c r="C473" s="732"/>
      <c r="D473" s="732"/>
      <c r="E473" s="732"/>
      <c r="F473" s="732"/>
      <c r="G473" s="732"/>
      <c r="H473" s="732"/>
    </row>
    <row r="474" spans="1:8" x14ac:dyDescent="0.2">
      <c r="A474" s="731" t="s">
        <v>3450</v>
      </c>
      <c r="B474" s="732"/>
      <c r="C474" s="732"/>
      <c r="D474" s="732"/>
      <c r="E474" s="732"/>
      <c r="F474" s="732"/>
      <c r="G474" s="732"/>
      <c r="H474" s="732"/>
    </row>
    <row r="475" spans="1:8" x14ac:dyDescent="0.2">
      <c r="A475" s="732" t="s">
        <v>3451</v>
      </c>
      <c r="B475" s="732"/>
      <c r="C475" s="732"/>
      <c r="D475" s="732"/>
      <c r="E475" s="732"/>
      <c r="F475" s="732"/>
      <c r="G475" s="732"/>
      <c r="H475" s="732"/>
    </row>
    <row r="476" spans="1:8" x14ac:dyDescent="0.2">
      <c r="A476" s="732" t="s">
        <v>3452</v>
      </c>
      <c r="B476" s="732"/>
      <c r="C476" s="732"/>
      <c r="D476" s="732"/>
      <c r="E476" s="732"/>
      <c r="F476" s="732"/>
      <c r="G476" s="732"/>
      <c r="H476" s="732"/>
    </row>
    <row r="477" spans="1:8" x14ac:dyDescent="0.2">
      <c r="A477" s="731"/>
      <c r="B477" s="732"/>
      <c r="C477" s="732"/>
      <c r="D477" s="732"/>
      <c r="E477" s="732"/>
      <c r="F477" s="732"/>
      <c r="G477" s="732"/>
      <c r="H477" s="732"/>
    </row>
    <row r="478" spans="1:8" x14ac:dyDescent="0.2">
      <c r="A478" s="731"/>
      <c r="B478" s="732"/>
      <c r="C478" s="730">
        <f>1/0.94-1</f>
        <v>6.3829787234042534E-2</v>
      </c>
      <c r="D478" s="732"/>
      <c r="E478" s="732"/>
      <c r="F478" s="732"/>
      <c r="G478" s="732"/>
      <c r="H478" s="732"/>
    </row>
    <row r="479" spans="1:8" x14ac:dyDescent="0.2">
      <c r="A479" s="731"/>
      <c r="B479" s="732"/>
      <c r="C479" s="732"/>
      <c r="D479" s="732"/>
      <c r="E479" s="732"/>
      <c r="F479" s="732"/>
      <c r="G479" s="732"/>
      <c r="H479" s="732"/>
    </row>
    <row r="480" spans="1:8" x14ac:dyDescent="0.2">
      <c r="A480" s="652" t="s">
        <v>3453</v>
      </c>
      <c r="B480" s="59"/>
      <c r="C480" s="59"/>
      <c r="D480" s="59"/>
      <c r="E480" s="59"/>
      <c r="F480" s="59"/>
      <c r="G480" s="59"/>
      <c r="H480" s="59"/>
    </row>
    <row r="481" spans="1:8" x14ac:dyDescent="0.2">
      <c r="A481" s="732" t="s">
        <v>3454</v>
      </c>
      <c r="B481" s="732"/>
      <c r="C481" s="732"/>
      <c r="D481" s="732"/>
      <c r="E481" s="732"/>
      <c r="F481" s="732"/>
      <c r="G481" s="732"/>
      <c r="H481" s="732"/>
    </row>
    <row r="482" spans="1:8" x14ac:dyDescent="0.2">
      <c r="A482" s="732" t="s">
        <v>3455</v>
      </c>
      <c r="B482" s="732"/>
      <c r="C482" s="732"/>
      <c r="D482" s="732"/>
      <c r="E482" s="732"/>
      <c r="F482" s="732"/>
      <c r="G482" s="732"/>
      <c r="H482" s="732"/>
    </row>
    <row r="483" spans="1:8" x14ac:dyDescent="0.2">
      <c r="A483" s="732" t="s">
        <v>3456</v>
      </c>
      <c r="B483" s="732"/>
      <c r="C483" s="732"/>
      <c r="D483" s="732"/>
      <c r="E483" s="732"/>
      <c r="F483" s="732"/>
      <c r="G483" s="732"/>
      <c r="H483" s="732"/>
    </row>
    <row r="484" spans="1:8" x14ac:dyDescent="0.2">
      <c r="A484" s="732" t="s">
        <v>3457</v>
      </c>
      <c r="B484" s="732"/>
      <c r="C484" s="732"/>
      <c r="D484" s="732"/>
      <c r="E484" s="732"/>
      <c r="F484" s="732"/>
      <c r="G484" s="732"/>
      <c r="H484" s="732"/>
    </row>
    <row r="485" spans="1:8" x14ac:dyDescent="0.2">
      <c r="A485" s="732" t="s">
        <v>3458</v>
      </c>
      <c r="B485" s="732"/>
      <c r="C485" s="732"/>
      <c r="D485" s="732"/>
      <c r="E485" s="732"/>
      <c r="F485" s="732"/>
      <c r="G485" s="732"/>
      <c r="H485" s="732"/>
    </row>
    <row r="486" spans="1:8" x14ac:dyDescent="0.2">
      <c r="A486" s="732" t="s">
        <v>3459</v>
      </c>
      <c r="B486" s="732"/>
      <c r="C486" s="732"/>
      <c r="D486" s="732"/>
      <c r="E486" s="732"/>
      <c r="F486" s="732"/>
      <c r="G486" s="732"/>
      <c r="H486" s="732"/>
    </row>
    <row r="487" spans="1:8" x14ac:dyDescent="0.2">
      <c r="A487" s="731"/>
      <c r="B487" s="732"/>
      <c r="C487" s="732"/>
      <c r="D487" s="732"/>
      <c r="E487" s="732"/>
      <c r="F487" s="732"/>
      <c r="G487" s="732"/>
      <c r="H487" s="732"/>
    </row>
    <row r="488" spans="1:8" x14ac:dyDescent="0.2">
      <c r="A488" s="731"/>
      <c r="B488" s="730">
        <f>1.0055^12-1</f>
        <v>6.8033559467648441E-2</v>
      </c>
      <c r="C488" s="732"/>
      <c r="D488" s="732"/>
      <c r="E488" s="732"/>
      <c r="F488" s="732"/>
      <c r="G488" s="732"/>
      <c r="H488" s="732"/>
    </row>
    <row r="489" spans="1:8" ht="17" customHeight="1" x14ac:dyDescent="0.2">
      <c r="A489" s="731"/>
      <c r="B489" s="732"/>
      <c r="C489" s="732"/>
      <c r="D489" s="732"/>
      <c r="E489" s="732"/>
      <c r="F489" s="732"/>
      <c r="G489" s="732"/>
      <c r="H489" s="732"/>
    </row>
    <row r="490" spans="1:8" ht="17" customHeight="1" x14ac:dyDescent="0.2">
      <c r="A490" s="652" t="s">
        <v>3460</v>
      </c>
      <c r="B490" s="59"/>
      <c r="C490" s="59"/>
      <c r="D490" s="59"/>
      <c r="E490" s="59"/>
      <c r="F490" s="59"/>
      <c r="G490" s="59"/>
      <c r="H490" s="59"/>
    </row>
    <row r="491" spans="1:8" ht="17" customHeight="1" x14ac:dyDescent="0.2">
      <c r="A491" s="732" t="s">
        <v>3461</v>
      </c>
      <c r="B491" s="732"/>
      <c r="C491" s="732"/>
      <c r="D491" s="732"/>
      <c r="E491" s="732"/>
      <c r="F491" s="732"/>
      <c r="G491" s="732"/>
      <c r="H491" s="732"/>
    </row>
    <row r="492" spans="1:8" ht="17" customHeight="1" x14ac:dyDescent="0.2">
      <c r="A492" s="732" t="s">
        <v>3462</v>
      </c>
      <c r="B492" s="732"/>
      <c r="C492" s="732"/>
      <c r="D492" s="732"/>
      <c r="E492" s="732"/>
      <c r="F492" s="732"/>
      <c r="G492" s="732"/>
      <c r="H492" s="732"/>
    </row>
    <row r="493" spans="1:8" ht="17" customHeight="1" x14ac:dyDescent="0.2">
      <c r="A493" s="732" t="s">
        <v>3463</v>
      </c>
      <c r="B493" s="732"/>
      <c r="C493" s="732"/>
      <c r="D493" s="732"/>
      <c r="E493" s="732"/>
      <c r="F493" s="732"/>
      <c r="G493" s="732"/>
      <c r="H493" s="732"/>
    </row>
    <row r="494" spans="1:8" ht="17" customHeight="1" x14ac:dyDescent="0.2">
      <c r="A494" s="732" t="s">
        <v>3464</v>
      </c>
      <c r="B494" s="732"/>
      <c r="C494" s="732"/>
      <c r="D494" s="732"/>
      <c r="E494" s="732"/>
      <c r="F494" s="732"/>
      <c r="G494" s="732"/>
      <c r="H494" s="732"/>
    </row>
    <row r="495" spans="1:8" ht="17" customHeight="1" x14ac:dyDescent="0.2">
      <c r="A495" s="732" t="s">
        <v>3465</v>
      </c>
      <c r="B495" s="732"/>
      <c r="C495" s="732"/>
      <c r="D495" s="732"/>
      <c r="E495" s="732"/>
      <c r="F495" s="732"/>
      <c r="G495" s="732"/>
      <c r="H495" s="732"/>
    </row>
    <row r="496" spans="1:8" ht="17" customHeight="1" x14ac:dyDescent="0.2">
      <c r="A496" s="732" t="s">
        <v>3466</v>
      </c>
      <c r="B496" s="732"/>
      <c r="C496" s="732"/>
      <c r="D496" s="732"/>
      <c r="E496" s="732"/>
      <c r="F496" s="732"/>
      <c r="G496" s="732"/>
      <c r="H496" s="732"/>
    </row>
    <row r="497" spans="1:8" x14ac:dyDescent="0.2">
      <c r="A497" s="732" t="s">
        <v>3467</v>
      </c>
      <c r="B497" s="732"/>
      <c r="C497" s="732"/>
      <c r="D497" s="732"/>
      <c r="E497" s="732"/>
      <c r="F497" s="732"/>
      <c r="G497" s="732"/>
      <c r="H497" s="732"/>
    </row>
    <row r="498" spans="1:8" x14ac:dyDescent="0.2">
      <c r="A498" s="732"/>
      <c r="B498" s="732"/>
      <c r="C498" s="732"/>
      <c r="D498" s="732"/>
      <c r="E498" s="732"/>
      <c r="F498" s="732"/>
      <c r="G498" s="732"/>
      <c r="H498" s="732"/>
    </row>
    <row r="499" spans="1:8" x14ac:dyDescent="0.2">
      <c r="A499" s="732"/>
      <c r="B499" s="732"/>
      <c r="C499" s="732"/>
      <c r="D499" s="732"/>
      <c r="E499" s="732"/>
      <c r="F499" s="732"/>
      <c r="G499" s="732"/>
      <c r="H499" s="732"/>
    </row>
    <row r="500" spans="1:8" x14ac:dyDescent="0.2">
      <c r="A500" s="732"/>
      <c r="B500" s="732"/>
      <c r="C500" s="732"/>
      <c r="D500" s="732"/>
      <c r="E500" s="732"/>
      <c r="F500" s="732"/>
      <c r="G500" s="732"/>
      <c r="H500" s="732"/>
    </row>
    <row r="501" spans="1:8" x14ac:dyDescent="0.2">
      <c r="A501" s="732"/>
      <c r="B501" s="732"/>
      <c r="C501" s="732"/>
      <c r="D501" s="732"/>
      <c r="E501" s="732"/>
      <c r="F501" s="732"/>
      <c r="G501" s="732"/>
      <c r="H501" s="732"/>
    </row>
    <row r="502" spans="1:8" x14ac:dyDescent="0.2">
      <c r="A502" s="732"/>
      <c r="B502" s="732"/>
      <c r="C502" s="732"/>
      <c r="D502" s="732"/>
      <c r="E502" s="732"/>
      <c r="F502" s="732"/>
      <c r="G502" s="732"/>
      <c r="H502" s="732"/>
    </row>
    <row r="503" spans="1:8" x14ac:dyDescent="0.2">
      <c r="C503" s="43" t="s">
        <v>3470</v>
      </c>
      <c r="E503" s="161" t="s">
        <v>3473</v>
      </c>
      <c r="G503" s="43" t="s">
        <v>3469</v>
      </c>
    </row>
    <row r="504" spans="1:8" x14ac:dyDescent="0.2">
      <c r="C504" s="49">
        <v>1</v>
      </c>
      <c r="D504" s="49"/>
      <c r="E504" s="49">
        <v>0.5</v>
      </c>
      <c r="F504" s="49"/>
      <c r="G504" s="49">
        <v>0</v>
      </c>
      <c r="H504" s="43" t="s">
        <v>3468</v>
      </c>
    </row>
    <row r="505" spans="1:8" x14ac:dyDescent="0.2">
      <c r="C505" s="47"/>
      <c r="E505" s="72" t="s">
        <v>3474</v>
      </c>
    </row>
    <row r="506" spans="1:8" x14ac:dyDescent="0.2">
      <c r="A506" s="43" t="s">
        <v>3475</v>
      </c>
      <c r="C506" s="519">
        <f>-1.02*(1+2%/2)</f>
        <v>-1.0302</v>
      </c>
      <c r="E506" s="47">
        <f>1+2%/2</f>
        <v>1.01</v>
      </c>
      <c r="G506" s="47">
        <v>1</v>
      </c>
      <c r="H506" s="43" t="s">
        <v>3471</v>
      </c>
    </row>
    <row r="507" spans="1:8" x14ac:dyDescent="0.2">
      <c r="A507" s="43" t="s">
        <v>3476</v>
      </c>
      <c r="E507" s="161"/>
      <c r="G507" s="47">
        <v>-0.04</v>
      </c>
      <c r="H507" s="43" t="s">
        <v>3472</v>
      </c>
    </row>
    <row r="508" spans="1:8" x14ac:dyDescent="0.2">
      <c r="E508" s="161"/>
      <c r="G508" s="519">
        <f>G506+G507</f>
        <v>0.96</v>
      </c>
      <c r="H508" s="43" t="s">
        <v>2093</v>
      </c>
    </row>
    <row r="509" spans="1:8" x14ac:dyDescent="0.2">
      <c r="E509" s="161"/>
    </row>
    <row r="510" spans="1:8" x14ac:dyDescent="0.2">
      <c r="A510" s="43" t="s">
        <v>3477</v>
      </c>
      <c r="E510" s="161"/>
    </row>
    <row r="511" spans="1:8" x14ac:dyDescent="0.2">
      <c r="A511" s="43" t="s">
        <v>3478</v>
      </c>
      <c r="E511" s="161"/>
    </row>
    <row r="512" spans="1:8" x14ac:dyDescent="0.2">
      <c r="E512" s="161"/>
    </row>
    <row r="513" spans="1:8" x14ac:dyDescent="0.2">
      <c r="A513" s="43" t="s">
        <v>3479</v>
      </c>
      <c r="C513" s="735">
        <f>-C506/G508-1</f>
        <v>7.3125000000000107E-2</v>
      </c>
      <c r="E513" s="161"/>
    </row>
    <row r="514" spans="1:8" x14ac:dyDescent="0.2">
      <c r="C514" s="735"/>
      <c r="E514" s="161"/>
    </row>
    <row r="515" spans="1:8" x14ac:dyDescent="0.2">
      <c r="E515" s="161"/>
    </row>
    <row r="516" spans="1:8" x14ac:dyDescent="0.2">
      <c r="A516" s="652" t="s">
        <v>3480</v>
      </c>
      <c r="B516" s="59"/>
      <c r="C516" s="59"/>
      <c r="D516" s="59"/>
      <c r="E516" s="736"/>
      <c r="F516" s="59"/>
      <c r="G516" s="737">
        <v>6.2E-2</v>
      </c>
      <c r="H516" s="59"/>
    </row>
    <row r="517" spans="1:8" x14ac:dyDescent="0.2">
      <c r="E517" s="161"/>
    </row>
    <row r="518" spans="1:8" x14ac:dyDescent="0.2">
      <c r="B518" s="59" t="s">
        <v>3481</v>
      </c>
      <c r="C518" s="59" t="s">
        <v>3482</v>
      </c>
      <c r="D518" s="59"/>
      <c r="E518" s="161"/>
    </row>
    <row r="519" spans="1:8" x14ac:dyDescent="0.2">
      <c r="B519" s="43">
        <v>1</v>
      </c>
      <c r="C519" s="739">
        <f>C450</f>
        <v>6.136355062499943E-2</v>
      </c>
      <c r="E519" s="161"/>
    </row>
    <row r="520" spans="1:8" x14ac:dyDescent="0.2">
      <c r="B520" s="43">
        <v>2</v>
      </c>
      <c r="C520" s="738">
        <f>C478</f>
        <v>6.3829787234042534E-2</v>
      </c>
      <c r="E520" s="161"/>
    </row>
    <row r="521" spans="1:8" x14ac:dyDescent="0.2">
      <c r="B521" s="43">
        <v>3</v>
      </c>
      <c r="C521" s="738">
        <f>B488</f>
        <v>6.8033559467648441E-2</v>
      </c>
      <c r="E521" s="161"/>
    </row>
    <row r="522" spans="1:8" x14ac:dyDescent="0.2">
      <c r="B522" s="43">
        <v>4</v>
      </c>
      <c r="C522" s="738">
        <f>C513</f>
        <v>7.3125000000000107E-2</v>
      </c>
      <c r="E522" s="161"/>
    </row>
    <row r="523" spans="1:8" x14ac:dyDescent="0.2">
      <c r="B523" s="43">
        <v>5</v>
      </c>
      <c r="C523" s="161">
        <f>G516</f>
        <v>6.2E-2</v>
      </c>
      <c r="E523" s="161"/>
    </row>
    <row r="524" spans="1:8" x14ac:dyDescent="0.2">
      <c r="E524" s="161"/>
    </row>
    <row r="525" spans="1:8" x14ac:dyDescent="0.2">
      <c r="E525" s="161"/>
    </row>
    <row r="526" spans="1:8" x14ac:dyDescent="0.2">
      <c r="E526" s="161"/>
    </row>
    <row r="529" spans="1:16" x14ac:dyDescent="0.2">
      <c r="A529" s="278" t="s">
        <v>2086</v>
      </c>
      <c r="B529" s="278"/>
      <c r="C529" s="278"/>
      <c r="D529" s="278"/>
      <c r="E529" s="278"/>
      <c r="F529" s="247" t="s">
        <v>3507</v>
      </c>
      <c r="G529" s="278"/>
      <c r="H529" s="278"/>
      <c r="I529" s="278" t="s">
        <v>2087</v>
      </c>
      <c r="J529" s="278"/>
      <c r="K529" s="278"/>
      <c r="L529" s="278"/>
      <c r="M529" s="278"/>
      <c r="N529" s="278"/>
      <c r="O529" s="278"/>
      <c r="P529" s="278"/>
    </row>
    <row r="530" spans="1:16" x14ac:dyDescent="0.2">
      <c r="I530" s="43" t="s">
        <v>3483</v>
      </c>
    </row>
    <row r="531" spans="1:16" x14ac:dyDescent="0.2">
      <c r="I531" s="43" t="s">
        <v>3484</v>
      </c>
    </row>
    <row r="532" spans="1:16" x14ac:dyDescent="0.2">
      <c r="I532" s="43" t="s">
        <v>3485</v>
      </c>
    </row>
    <row r="534" spans="1:16" x14ac:dyDescent="0.2">
      <c r="K534" s="43" t="s">
        <v>3492</v>
      </c>
    </row>
    <row r="536" spans="1:16" x14ac:dyDescent="0.2">
      <c r="L536" s="47" t="s">
        <v>3489</v>
      </c>
    </row>
    <row r="537" spans="1:16" x14ac:dyDescent="0.2">
      <c r="J537" s="47"/>
      <c r="K537" s="47"/>
      <c r="L537" s="47" t="s">
        <v>3486</v>
      </c>
    </row>
    <row r="538" spans="1:16" x14ac:dyDescent="0.2">
      <c r="J538" s="733" t="s">
        <v>3490</v>
      </c>
      <c r="K538" s="733"/>
      <c r="L538" s="47" t="s">
        <v>3473</v>
      </c>
      <c r="M538" s="47"/>
      <c r="N538" s="47" t="s">
        <v>3469</v>
      </c>
      <c r="O538" s="47"/>
    </row>
    <row r="539" spans="1:16" x14ac:dyDescent="0.2">
      <c r="J539" s="49" t="s">
        <v>3491</v>
      </c>
      <c r="K539" s="49"/>
      <c r="L539" s="49">
        <v>0.5</v>
      </c>
      <c r="M539" s="49"/>
      <c r="N539" s="49">
        <v>0</v>
      </c>
      <c r="O539" s="47"/>
    </row>
    <row r="540" spans="1:16" x14ac:dyDescent="0.2">
      <c r="K540" s="43" t="s">
        <v>3496</v>
      </c>
      <c r="L540" s="48">
        <f>-N540*(1+2.4%)</f>
        <v>-102400</v>
      </c>
      <c r="M540" s="47"/>
      <c r="N540" s="48">
        <v>100000</v>
      </c>
      <c r="O540" s="496" t="s">
        <v>3471</v>
      </c>
    </row>
    <row r="541" spans="1:16" x14ac:dyDescent="0.2">
      <c r="K541" s="43" t="s">
        <v>3497</v>
      </c>
      <c r="L541" s="47">
        <v>230</v>
      </c>
      <c r="N541" s="48">
        <f>-1.5%*N540</f>
        <v>-1500</v>
      </c>
      <c r="O541" s="43" t="s">
        <v>3487</v>
      </c>
    </row>
    <row r="542" spans="1:16" x14ac:dyDescent="0.2">
      <c r="K542" s="43" t="s">
        <v>3498</v>
      </c>
      <c r="L542" s="150">
        <f>L540+L541</f>
        <v>-102170</v>
      </c>
      <c r="N542" s="150">
        <f>N540+N541</f>
        <v>98500</v>
      </c>
      <c r="O542" s="43" t="s">
        <v>3488</v>
      </c>
    </row>
    <row r="543" spans="1:16" x14ac:dyDescent="0.2">
      <c r="L543" s="47" t="s">
        <v>3499</v>
      </c>
    </row>
    <row r="545" spans="1:10" x14ac:dyDescent="0.2">
      <c r="I545" s="43" t="s">
        <v>3493</v>
      </c>
    </row>
    <row r="546" spans="1:10" x14ac:dyDescent="0.2">
      <c r="I546" s="43" t="s">
        <v>3494</v>
      </c>
    </row>
    <row r="547" spans="1:10" x14ac:dyDescent="0.2">
      <c r="I547" s="43" t="s">
        <v>3495</v>
      </c>
    </row>
    <row r="548" spans="1:10" x14ac:dyDescent="0.2">
      <c r="A548" s="396" t="s">
        <v>2088</v>
      </c>
      <c r="B548" s="396"/>
      <c r="C548" s="396"/>
      <c r="D548" s="396"/>
      <c r="E548" s="396"/>
      <c r="F548" s="396"/>
      <c r="G548" s="396"/>
      <c r="H548" s="396"/>
    </row>
    <row r="549" spans="1:10" x14ac:dyDescent="0.2">
      <c r="A549" s="396" t="s">
        <v>2089</v>
      </c>
      <c r="B549" s="396"/>
      <c r="C549" s="396"/>
      <c r="D549" s="396"/>
      <c r="E549" s="396"/>
      <c r="F549" s="396"/>
      <c r="G549" s="396"/>
      <c r="H549" s="396"/>
      <c r="I549" s="43" t="s">
        <v>3501</v>
      </c>
    </row>
    <row r="550" spans="1:10" x14ac:dyDescent="0.2">
      <c r="A550" s="396" t="s">
        <v>3505</v>
      </c>
      <c r="B550" s="396"/>
      <c r="C550" s="396"/>
      <c r="D550" s="396"/>
      <c r="E550" s="396"/>
      <c r="F550" s="396"/>
      <c r="G550" s="396"/>
      <c r="H550" s="396"/>
      <c r="I550" s="43" t="s">
        <v>3500</v>
      </c>
    </row>
    <row r="551" spans="1:10" x14ac:dyDescent="0.2">
      <c r="A551" s="396"/>
      <c r="B551" s="396"/>
      <c r="C551" s="396"/>
      <c r="D551" s="396"/>
      <c r="E551" s="396"/>
      <c r="F551" s="396"/>
      <c r="G551" s="396"/>
      <c r="H551" s="396"/>
    </row>
    <row r="552" spans="1:10" x14ac:dyDescent="0.2">
      <c r="A552" s="396"/>
      <c r="B552" s="742">
        <v>0.5</v>
      </c>
      <c r="C552" s="742"/>
      <c r="D552" s="742"/>
      <c r="E552" s="742"/>
      <c r="F552" s="742">
        <v>0</v>
      </c>
      <c r="G552" s="396"/>
      <c r="H552" s="396"/>
    </row>
    <row r="553" spans="1:10" x14ac:dyDescent="0.2">
      <c r="A553" s="396"/>
      <c r="B553" s="743">
        <f>-100000*1.024</f>
        <v>-102400</v>
      </c>
      <c r="C553" s="396"/>
      <c r="D553" s="396" t="s">
        <v>3506</v>
      </c>
      <c r="E553" s="396"/>
      <c r="F553" s="743">
        <v>100000</v>
      </c>
      <c r="G553" s="396" t="s">
        <v>2090</v>
      </c>
      <c r="H553" s="396"/>
      <c r="J553" s="741">
        <f>-L542/N542-1</f>
        <v>3.7258883248731056E-2</v>
      </c>
    </row>
    <row r="554" spans="1:10" x14ac:dyDescent="0.2">
      <c r="A554" s="396"/>
      <c r="B554" s="744">
        <v>230</v>
      </c>
      <c r="C554" s="396" t="s">
        <v>2091</v>
      </c>
      <c r="D554" s="396"/>
      <c r="E554" s="396"/>
      <c r="F554" s="743">
        <f>-1.5%*100000</f>
        <v>-1500</v>
      </c>
      <c r="G554" s="396" t="s">
        <v>2092</v>
      </c>
      <c r="H554" s="396"/>
    </row>
    <row r="555" spans="1:10" x14ac:dyDescent="0.2">
      <c r="A555" s="396"/>
      <c r="B555" s="745">
        <f>B553+B554</f>
        <v>-102170</v>
      </c>
      <c r="C555" s="396"/>
      <c r="D555" s="396"/>
      <c r="E555" s="396"/>
      <c r="F555" s="745">
        <f>F553+F554</f>
        <v>98500</v>
      </c>
      <c r="G555" s="396" t="s">
        <v>2093</v>
      </c>
      <c r="H555" s="396"/>
      <c r="I555" s="43" t="s">
        <v>3502</v>
      </c>
    </row>
    <row r="556" spans="1:10" x14ac:dyDescent="0.2">
      <c r="A556" s="396"/>
      <c r="B556" s="396"/>
      <c r="C556" s="396"/>
      <c r="D556" s="396"/>
      <c r="E556" s="396"/>
      <c r="F556" s="396"/>
      <c r="G556" s="396"/>
      <c r="H556" s="396"/>
      <c r="I556" s="43" t="s">
        <v>3503</v>
      </c>
    </row>
    <row r="557" spans="1:10" x14ac:dyDescent="0.2">
      <c r="A557" s="396"/>
      <c r="B557" s="396"/>
      <c r="C557" s="396"/>
      <c r="D557" s="396"/>
      <c r="E557" s="396"/>
      <c r="F557" s="396"/>
      <c r="G557" s="396"/>
      <c r="H557" s="396"/>
    </row>
    <row r="558" spans="1:10" x14ac:dyDescent="0.2">
      <c r="A558" s="396" t="s">
        <v>2094</v>
      </c>
      <c r="B558" s="396"/>
      <c r="C558" s="746">
        <f>-B555/F555-1</f>
        <v>3.7258883248731056E-2</v>
      </c>
      <c r="D558" s="396"/>
      <c r="E558" s="396"/>
      <c r="F558" s="396"/>
      <c r="G558" s="396"/>
      <c r="H558" s="396" t="s">
        <v>2095</v>
      </c>
      <c r="J558" s="740">
        <f>(1+J553)^2-1</f>
        <v>7.5905990878404772E-2</v>
      </c>
    </row>
    <row r="559" spans="1:10" x14ac:dyDescent="0.2">
      <c r="A559" s="396" t="s">
        <v>2096</v>
      </c>
      <c r="B559" s="396"/>
      <c r="C559" s="747">
        <f>(1+C558)^2-1</f>
        <v>7.5905990878404772E-2</v>
      </c>
      <c r="D559" s="396"/>
      <c r="E559" s="396"/>
      <c r="F559" s="396"/>
      <c r="G559" s="396"/>
      <c r="H559" s="396" t="s">
        <v>2097</v>
      </c>
      <c r="J559" s="43" t="s">
        <v>3504</v>
      </c>
    </row>
    <row r="563" spans="1:16" x14ac:dyDescent="0.2">
      <c r="I563" s="44" t="s">
        <v>2098</v>
      </c>
    </row>
    <row r="564" spans="1:16" x14ac:dyDescent="0.2">
      <c r="I564" s="43" t="s">
        <v>2099</v>
      </c>
      <c r="K564" s="201">
        <f>(100000*1.024-230)/(100000*0.985)-1</f>
        <v>3.7258883248731056E-2</v>
      </c>
      <c r="P564" s="43" t="s">
        <v>2100</v>
      </c>
    </row>
    <row r="565" spans="1:16" x14ac:dyDescent="0.2">
      <c r="I565" s="43" t="s">
        <v>2101</v>
      </c>
      <c r="K565" s="294">
        <f>(1+K564)^2-1</f>
        <v>7.5905990878404772E-2</v>
      </c>
      <c r="P565" s="43" t="s">
        <v>2097</v>
      </c>
    </row>
    <row r="571" spans="1:16" x14ac:dyDescent="0.2">
      <c r="A571" s="278" t="s">
        <v>2102</v>
      </c>
      <c r="B571" s="278"/>
      <c r="C571" s="278"/>
      <c r="D571" s="278"/>
      <c r="E571" s="278"/>
      <c r="F571" s="278"/>
      <c r="G571" s="278"/>
      <c r="H571" s="278"/>
    </row>
    <row r="587" spans="1:8" x14ac:dyDescent="0.2">
      <c r="A587" s="278" t="s">
        <v>2103</v>
      </c>
      <c r="B587" s="278"/>
      <c r="C587" s="278"/>
      <c r="D587" s="278"/>
      <c r="E587" s="278"/>
      <c r="F587" s="278"/>
      <c r="G587" s="278"/>
      <c r="H587" s="278"/>
    </row>
    <row r="589" spans="1:8" x14ac:dyDescent="0.2">
      <c r="A589" s="43" t="s">
        <v>2104</v>
      </c>
    </row>
    <row r="590" spans="1:8" x14ac:dyDescent="0.2">
      <c r="A590" s="43" t="s">
        <v>2105</v>
      </c>
    </row>
    <row r="591" spans="1:8" x14ac:dyDescent="0.2">
      <c r="A591" s="43" t="s">
        <v>2106</v>
      </c>
    </row>
    <row r="592" spans="1:8" x14ac:dyDescent="0.2">
      <c r="A592" s="43" t="s">
        <v>2107</v>
      </c>
    </row>
    <row r="594" spans="1:8" x14ac:dyDescent="0.2">
      <c r="C594" s="59" t="s">
        <v>268</v>
      </c>
      <c r="D594" s="59" t="s">
        <v>2108</v>
      </c>
    </row>
    <row r="595" spans="1:8" ht="16" x14ac:dyDescent="0.2">
      <c r="C595" s="77">
        <f>D595</f>
        <v>0.01</v>
      </c>
      <c r="D595" s="77">
        <v>0.01</v>
      </c>
      <c r="E595" s="92" t="s">
        <v>87</v>
      </c>
    </row>
    <row r="596" spans="1:8" ht="16" x14ac:dyDescent="0.2">
      <c r="C596" s="43">
        <f>7</f>
        <v>7</v>
      </c>
      <c r="D596" s="43">
        <v>5</v>
      </c>
      <c r="E596" s="92" t="s">
        <v>89</v>
      </c>
    </row>
    <row r="597" spans="1:8" ht="16" x14ac:dyDescent="0.2">
      <c r="C597" s="288">
        <f>-D599</f>
        <v>52550.502504999997</v>
      </c>
      <c r="D597" s="74">
        <v>50000</v>
      </c>
      <c r="E597" s="92" t="s">
        <v>281</v>
      </c>
    </row>
    <row r="598" spans="1:8" ht="16" x14ac:dyDescent="0.2">
      <c r="C598" s="274">
        <f>PMT(C595,C596,C597,C599,C600)</f>
        <v>-7810.4909535921333</v>
      </c>
      <c r="D598" s="43">
        <v>0</v>
      </c>
      <c r="E598" s="92" t="s">
        <v>91</v>
      </c>
    </row>
    <row r="599" spans="1:8" ht="16" x14ac:dyDescent="0.2">
      <c r="C599" s="43">
        <v>0</v>
      </c>
      <c r="D599" s="288">
        <f>FV(D595,D596,D598,D597)</f>
        <v>-52550.502504999997</v>
      </c>
      <c r="E599" s="92" t="s">
        <v>105</v>
      </c>
    </row>
    <row r="600" spans="1:8" ht="16" x14ac:dyDescent="0.2">
      <c r="C600" s="43">
        <v>0</v>
      </c>
      <c r="D600" s="43">
        <v>0</v>
      </c>
      <c r="E600" s="92" t="s">
        <v>328</v>
      </c>
    </row>
    <row r="602" spans="1:8" ht="16" thickBot="1" x14ac:dyDescent="0.25">
      <c r="A602" s="44" t="s">
        <v>2025</v>
      </c>
    </row>
    <row r="603" spans="1:8" x14ac:dyDescent="0.2">
      <c r="A603" s="277"/>
      <c r="B603" s="212"/>
      <c r="C603" s="212"/>
      <c r="D603" s="212"/>
      <c r="E603" s="212"/>
      <c r="F603" s="212"/>
      <c r="G603" s="212"/>
      <c r="H603" s="213"/>
    </row>
    <row r="604" spans="1:8" x14ac:dyDescent="0.2">
      <c r="A604" s="276"/>
      <c r="H604" s="215"/>
    </row>
    <row r="605" spans="1:8" x14ac:dyDescent="0.2">
      <c r="A605" s="276"/>
      <c r="H605" s="215"/>
    </row>
    <row r="606" spans="1:8" x14ac:dyDescent="0.2">
      <c r="A606" s="276"/>
      <c r="H606" s="215"/>
    </row>
    <row r="607" spans="1:8" x14ac:dyDescent="0.2">
      <c r="A607" s="276"/>
      <c r="H607" s="215"/>
    </row>
    <row r="608" spans="1:8" x14ac:dyDescent="0.2">
      <c r="A608" s="276"/>
      <c r="H608" s="215"/>
    </row>
    <row r="609" spans="1:8" x14ac:dyDescent="0.2">
      <c r="A609" s="276"/>
      <c r="H609" s="215"/>
    </row>
    <row r="610" spans="1:8" x14ac:dyDescent="0.2">
      <c r="A610" s="276"/>
      <c r="H610" s="215"/>
    </row>
    <row r="611" spans="1:8" x14ac:dyDescent="0.2">
      <c r="A611" s="276"/>
      <c r="H611" s="215"/>
    </row>
    <row r="612" spans="1:8" x14ac:dyDescent="0.2">
      <c r="A612" s="276"/>
      <c r="H612" s="215"/>
    </row>
    <row r="613" spans="1:8" ht="16" thickBot="1" x14ac:dyDescent="0.25">
      <c r="A613" s="234"/>
      <c r="B613" s="217"/>
      <c r="C613" s="217"/>
      <c r="D613" s="217"/>
      <c r="E613" s="217"/>
      <c r="F613" s="217"/>
      <c r="G613" s="217"/>
      <c r="H613" s="218"/>
    </row>
    <row r="615" spans="1:8" x14ac:dyDescent="0.2">
      <c r="A615" s="278" t="s">
        <v>2109</v>
      </c>
      <c r="B615" s="278"/>
      <c r="C615" s="278"/>
      <c r="D615" s="278"/>
      <c r="E615" s="278"/>
      <c r="F615" s="278"/>
      <c r="G615" s="278"/>
      <c r="H615" s="278"/>
    </row>
    <row r="631" spans="1:8" x14ac:dyDescent="0.2">
      <c r="A631" s="278" t="s">
        <v>2110</v>
      </c>
      <c r="B631" s="278"/>
      <c r="C631" s="278"/>
      <c r="D631" s="278"/>
      <c r="E631" s="278"/>
      <c r="F631" s="278"/>
      <c r="G631" s="278"/>
      <c r="H631" s="278"/>
    </row>
    <row r="632" spans="1:8" x14ac:dyDescent="0.2">
      <c r="A632" s="43" t="s">
        <v>2111</v>
      </c>
    </row>
    <row r="633" spans="1:8" x14ac:dyDescent="0.2">
      <c r="A633" s="43" t="s">
        <v>2112</v>
      </c>
    </row>
    <row r="634" spans="1:8" x14ac:dyDescent="0.2">
      <c r="A634" s="43" t="s">
        <v>2113</v>
      </c>
    </row>
    <row r="635" spans="1:8" x14ac:dyDescent="0.2">
      <c r="E635" s="74">
        <f>100000*10/15</f>
        <v>66666.666666666672</v>
      </c>
      <c r="H635" s="43" t="s">
        <v>2114</v>
      </c>
    </row>
    <row r="636" spans="1:8" x14ac:dyDescent="0.2">
      <c r="A636" s="43" t="s">
        <v>2115</v>
      </c>
    </row>
    <row r="638" spans="1:8" x14ac:dyDescent="0.2">
      <c r="D638" s="77">
        <v>0.08</v>
      </c>
      <c r="E638" s="43" t="s">
        <v>87</v>
      </c>
    </row>
    <row r="639" spans="1:8" x14ac:dyDescent="0.2">
      <c r="D639" s="43">
        <v>5</v>
      </c>
      <c r="E639" s="43" t="s">
        <v>1488</v>
      </c>
    </row>
    <row r="640" spans="1:8" x14ac:dyDescent="0.2">
      <c r="D640" s="43">
        <v>10</v>
      </c>
      <c r="E640" s="43" t="s">
        <v>89</v>
      </c>
    </row>
    <row r="641" spans="1:8" x14ac:dyDescent="0.2">
      <c r="D641" s="74">
        <f>E635</f>
        <v>66666.666666666672</v>
      </c>
      <c r="E641" s="43" t="s">
        <v>281</v>
      </c>
    </row>
    <row r="642" spans="1:8" x14ac:dyDescent="0.2">
      <c r="D642" s="43">
        <v>0</v>
      </c>
      <c r="E642" s="43" t="s">
        <v>105</v>
      </c>
    </row>
    <row r="643" spans="1:8" x14ac:dyDescent="0.2">
      <c r="D643" s="43">
        <v>0</v>
      </c>
      <c r="E643" s="43" t="s">
        <v>328</v>
      </c>
    </row>
    <row r="644" spans="1:8" x14ac:dyDescent="0.2">
      <c r="D644" s="274">
        <f>PPMT(D638,D639,D640,D641,D642,D643)</f>
        <v>-6260.9238191210607</v>
      </c>
      <c r="E644" s="43" t="s">
        <v>1490</v>
      </c>
    </row>
    <row r="646" spans="1:8" ht="16" thickBot="1" x14ac:dyDescent="0.25">
      <c r="A646" s="44" t="s">
        <v>2025</v>
      </c>
    </row>
    <row r="647" spans="1:8" x14ac:dyDescent="0.2">
      <c r="A647" s="277"/>
      <c r="B647" s="212"/>
      <c r="C647" s="212"/>
      <c r="D647" s="212"/>
      <c r="E647" s="212"/>
      <c r="F647" s="212"/>
      <c r="G647" s="212"/>
      <c r="H647" s="213"/>
    </row>
    <row r="648" spans="1:8" x14ac:dyDescent="0.2">
      <c r="A648" s="276"/>
      <c r="H648" s="215"/>
    </row>
    <row r="649" spans="1:8" x14ac:dyDescent="0.2">
      <c r="A649" s="276"/>
      <c r="H649" s="215"/>
    </row>
    <row r="650" spans="1:8" x14ac:dyDescent="0.2">
      <c r="A650" s="276"/>
      <c r="H650" s="215"/>
    </row>
    <row r="651" spans="1:8" x14ac:dyDescent="0.2">
      <c r="A651" s="276"/>
      <c r="H651" s="215"/>
    </row>
    <row r="652" spans="1:8" x14ac:dyDescent="0.2">
      <c r="A652" s="276"/>
      <c r="H652" s="215"/>
    </row>
    <row r="653" spans="1:8" x14ac:dyDescent="0.2">
      <c r="A653" s="276"/>
      <c r="H653" s="215"/>
    </row>
    <row r="654" spans="1:8" x14ac:dyDescent="0.2">
      <c r="A654" s="276"/>
      <c r="H654" s="215"/>
    </row>
    <row r="655" spans="1:8" x14ac:dyDescent="0.2">
      <c r="A655" s="276"/>
      <c r="H655" s="215"/>
    </row>
    <row r="656" spans="1:8" x14ac:dyDescent="0.2">
      <c r="A656" s="276"/>
      <c r="H656" s="215"/>
    </row>
    <row r="657" spans="1:8" ht="16" thickBot="1" x14ac:dyDescent="0.25">
      <c r="A657" s="234"/>
      <c r="B657" s="217"/>
      <c r="C657" s="217"/>
      <c r="D657" s="217"/>
      <c r="E657" s="217"/>
      <c r="F657" s="217"/>
      <c r="G657" s="217"/>
      <c r="H657" s="218"/>
    </row>
    <row r="665" spans="1:8" x14ac:dyDescent="0.2">
      <c r="A665" s="278" t="s">
        <v>2116</v>
      </c>
      <c r="B665" s="278"/>
      <c r="C665" s="278"/>
      <c r="D665" s="278"/>
      <c r="E665" s="278"/>
      <c r="F665" s="278"/>
      <c r="G665" s="278"/>
      <c r="H665" s="278"/>
    </row>
    <row r="681" spans="1:8" x14ac:dyDescent="0.2">
      <c r="A681" s="278" t="s">
        <v>2117</v>
      </c>
      <c r="B681" s="278"/>
      <c r="C681" s="278"/>
      <c r="D681" s="278"/>
      <c r="E681" s="278"/>
      <c r="F681" s="278"/>
      <c r="G681" s="278"/>
      <c r="H681" s="278"/>
    </row>
    <row r="682" spans="1:8" x14ac:dyDescent="0.2">
      <c r="A682" s="43" t="s">
        <v>2118</v>
      </c>
    </row>
    <row r="683" spans="1:8" x14ac:dyDescent="0.2">
      <c r="A683" s="43" t="s">
        <v>2119</v>
      </c>
    </row>
    <row r="685" spans="1:8" x14ac:dyDescent="0.2">
      <c r="D685" s="59" t="s">
        <v>2120</v>
      </c>
    </row>
    <row r="686" spans="1:8" ht="16" x14ac:dyDescent="0.2">
      <c r="D686" s="273">
        <v>5.0000000000000001E-3</v>
      </c>
      <c r="E686" s="92" t="s">
        <v>87</v>
      </c>
    </row>
    <row r="687" spans="1:8" ht="16" x14ac:dyDescent="0.2">
      <c r="D687" s="43">
        <f>5*12</f>
        <v>60</v>
      </c>
      <c r="E687" s="92" t="s">
        <v>89</v>
      </c>
    </row>
    <row r="688" spans="1:8" ht="16" x14ac:dyDescent="0.2">
      <c r="D688" s="288">
        <f>PV(D686,D687,D689,D690,D691)</f>
        <v>99999.992088945713</v>
      </c>
      <c r="E688" s="92" t="s">
        <v>281</v>
      </c>
    </row>
    <row r="689" spans="1:8" ht="16" x14ac:dyDescent="0.2">
      <c r="D689" s="74">
        <v>-1933.28</v>
      </c>
      <c r="E689" s="92" t="s">
        <v>91</v>
      </c>
    </row>
    <row r="690" spans="1:8" ht="16" x14ac:dyDescent="0.2">
      <c r="D690" s="74">
        <v>0</v>
      </c>
      <c r="E690" s="92" t="s">
        <v>105</v>
      </c>
    </row>
    <row r="691" spans="1:8" ht="16" x14ac:dyDescent="0.2">
      <c r="D691" s="43">
        <v>0</v>
      </c>
      <c r="E691" s="92" t="s">
        <v>328</v>
      </c>
    </row>
    <row r="693" spans="1:8" x14ac:dyDescent="0.2">
      <c r="A693" s="43" t="s">
        <v>2121</v>
      </c>
    </row>
    <row r="694" spans="1:8" x14ac:dyDescent="0.2">
      <c r="D694" s="273">
        <f>D686</f>
        <v>5.0000000000000001E-3</v>
      </c>
      <c r="E694" s="43" t="s">
        <v>87</v>
      </c>
    </row>
    <row r="695" spans="1:8" x14ac:dyDescent="0.2">
      <c r="D695" s="43">
        <f>18</f>
        <v>18</v>
      </c>
      <c r="E695" s="43" t="s">
        <v>1488</v>
      </c>
    </row>
    <row r="696" spans="1:8" x14ac:dyDescent="0.2">
      <c r="D696" s="43">
        <f>5*12</f>
        <v>60</v>
      </c>
      <c r="E696" s="43" t="s">
        <v>89</v>
      </c>
    </row>
    <row r="697" spans="1:8" x14ac:dyDescent="0.2">
      <c r="D697" s="74">
        <f>D688</f>
        <v>99999.992088945713</v>
      </c>
      <c r="E697" s="43" t="s">
        <v>281</v>
      </c>
    </row>
    <row r="698" spans="1:8" x14ac:dyDescent="0.2">
      <c r="D698" s="43">
        <v>0</v>
      </c>
      <c r="E698" s="43" t="s">
        <v>105</v>
      </c>
    </row>
    <row r="699" spans="1:8" x14ac:dyDescent="0.2">
      <c r="D699" s="43">
        <v>0</v>
      </c>
      <c r="E699" s="43" t="s">
        <v>328</v>
      </c>
    </row>
    <row r="700" spans="1:8" x14ac:dyDescent="0.2">
      <c r="D700" s="274">
        <f>IPMT(D694,D695,D696,D697,D698,D699)</f>
        <v>-373.1740161452214</v>
      </c>
      <c r="E700" s="43" t="s">
        <v>1490</v>
      </c>
    </row>
    <row r="702" spans="1:8" ht="16" thickBot="1" x14ac:dyDescent="0.25">
      <c r="A702" s="44" t="s">
        <v>2025</v>
      </c>
    </row>
    <row r="703" spans="1:8" x14ac:dyDescent="0.2">
      <c r="A703" s="277"/>
      <c r="B703" s="212"/>
      <c r="C703" s="212"/>
      <c r="D703" s="212"/>
      <c r="E703" s="212"/>
      <c r="F703" s="212"/>
      <c r="G703" s="212"/>
      <c r="H703" s="213"/>
    </row>
    <row r="704" spans="1:8" x14ac:dyDescent="0.2">
      <c r="A704" s="276"/>
      <c r="H704" s="215"/>
    </row>
    <row r="705" spans="1:8" x14ac:dyDescent="0.2">
      <c r="A705" s="276"/>
      <c r="H705" s="215"/>
    </row>
    <row r="706" spans="1:8" x14ac:dyDescent="0.2">
      <c r="A706" s="276"/>
      <c r="H706" s="215"/>
    </row>
    <row r="707" spans="1:8" x14ac:dyDescent="0.2">
      <c r="A707" s="276"/>
      <c r="H707" s="215"/>
    </row>
    <row r="708" spans="1:8" x14ac:dyDescent="0.2">
      <c r="A708" s="276"/>
      <c r="H708" s="215"/>
    </row>
    <row r="709" spans="1:8" x14ac:dyDescent="0.2">
      <c r="A709" s="276"/>
      <c r="H709" s="215"/>
    </row>
    <row r="710" spans="1:8" x14ac:dyDescent="0.2">
      <c r="A710" s="276"/>
      <c r="H710" s="215"/>
    </row>
    <row r="711" spans="1:8" x14ac:dyDescent="0.2">
      <c r="A711" s="276"/>
      <c r="H711" s="215"/>
    </row>
    <row r="712" spans="1:8" x14ac:dyDescent="0.2">
      <c r="A712" s="276"/>
      <c r="H712" s="215"/>
    </row>
    <row r="713" spans="1:8" ht="16" thickBot="1" x14ac:dyDescent="0.25">
      <c r="A713" s="234"/>
      <c r="B713" s="217"/>
      <c r="C713" s="217"/>
      <c r="D713" s="217"/>
      <c r="E713" s="217"/>
      <c r="F713" s="217"/>
      <c r="G713" s="217"/>
      <c r="H713" s="218"/>
    </row>
    <row r="726" spans="1:8" x14ac:dyDescent="0.2">
      <c r="A726" s="278" t="s">
        <v>2122</v>
      </c>
      <c r="B726" s="278"/>
      <c r="C726" s="278"/>
      <c r="D726" s="748" t="s">
        <v>3508</v>
      </c>
      <c r="E726" s="748"/>
      <c r="F726" s="748"/>
      <c r="G726" s="748"/>
      <c r="H726" s="748"/>
    </row>
    <row r="727" spans="1:8" x14ac:dyDescent="0.2">
      <c r="C727" s="272"/>
    </row>
    <row r="728" spans="1:8" x14ac:dyDescent="0.2">
      <c r="C728" s="272"/>
    </row>
    <row r="739" spans="1:8" x14ac:dyDescent="0.2">
      <c r="A739" s="278" t="s">
        <v>2123</v>
      </c>
      <c r="B739" s="278"/>
      <c r="C739" s="278"/>
      <c r="D739" s="278"/>
      <c r="E739" s="278"/>
      <c r="F739" s="278"/>
      <c r="G739" s="278"/>
      <c r="H739" s="278"/>
    </row>
    <row r="740" spans="1:8" x14ac:dyDescent="0.2">
      <c r="A740" s="43" t="s">
        <v>3509</v>
      </c>
    </row>
    <row r="741" spans="1:8" x14ac:dyDescent="0.2">
      <c r="A741" s="43" t="s">
        <v>3510</v>
      </c>
    </row>
    <row r="742" spans="1:8" x14ac:dyDescent="0.2">
      <c r="A742" s="43" t="s">
        <v>3511</v>
      </c>
    </row>
    <row r="744" spans="1:8" x14ac:dyDescent="0.2">
      <c r="A744" s="43" t="s">
        <v>3512</v>
      </c>
    </row>
    <row r="746" spans="1:8" x14ac:dyDescent="0.2">
      <c r="A746" s="652" t="s">
        <v>3513</v>
      </c>
      <c r="B746" s="652"/>
      <c r="C746" s="652"/>
      <c r="D746" s="652"/>
      <c r="E746" s="652"/>
      <c r="F746" s="652"/>
      <c r="G746" s="652"/>
      <c r="H746" s="652"/>
    </row>
    <row r="747" spans="1:8" x14ac:dyDescent="0.2">
      <c r="A747" s="43" t="s">
        <v>3514</v>
      </c>
    </row>
    <row r="748" spans="1:8" x14ac:dyDescent="0.2">
      <c r="A748" s="43" t="s">
        <v>3515</v>
      </c>
    </row>
    <row r="750" spans="1:8" x14ac:dyDescent="0.2">
      <c r="B750" s="49" t="s">
        <v>1855</v>
      </c>
      <c r="C750" s="49" t="s">
        <v>1856</v>
      </c>
    </row>
    <row r="751" spans="1:8" x14ac:dyDescent="0.2">
      <c r="A751" s="47">
        <v>0</v>
      </c>
      <c r="B751" s="47">
        <v>-100</v>
      </c>
      <c r="C751" s="47">
        <v>-100</v>
      </c>
    </row>
    <row r="752" spans="1:8" x14ac:dyDescent="0.2">
      <c r="A752" s="47">
        <v>1</v>
      </c>
      <c r="B752" s="47">
        <v>40</v>
      </c>
      <c r="C752" s="47">
        <v>30</v>
      </c>
    </row>
    <row r="753" spans="1:8" x14ac:dyDescent="0.2">
      <c r="A753" s="47">
        <v>2</v>
      </c>
      <c r="B753" s="47">
        <v>30</v>
      </c>
      <c r="C753" s="47">
        <v>40</v>
      </c>
    </row>
    <row r="754" spans="1:8" x14ac:dyDescent="0.2">
      <c r="A754" s="47">
        <v>3</v>
      </c>
      <c r="B754" s="47">
        <v>40</v>
      </c>
      <c r="C754" s="47">
        <v>30</v>
      </c>
    </row>
    <row r="755" spans="1:8" x14ac:dyDescent="0.2">
      <c r="A755" s="47">
        <v>4</v>
      </c>
      <c r="B755" s="47">
        <v>30</v>
      </c>
      <c r="C755" s="47">
        <v>40</v>
      </c>
    </row>
    <row r="757" spans="1:8" x14ac:dyDescent="0.2">
      <c r="A757" s="43" t="s">
        <v>3516</v>
      </c>
      <c r="B757" s="54">
        <v>0</v>
      </c>
      <c r="C757" s="54">
        <v>0</v>
      </c>
    </row>
    <row r="758" spans="1:8" x14ac:dyDescent="0.2">
      <c r="B758" s="54"/>
      <c r="C758" s="54"/>
    </row>
    <row r="759" spans="1:8" x14ac:dyDescent="0.2">
      <c r="A759" s="43" t="s">
        <v>3517</v>
      </c>
      <c r="B759" s="228">
        <f>NPV(B757,B752:B755)+B751</f>
        <v>40</v>
      </c>
      <c r="C759" s="228">
        <f>NPV(C757,C752:C755)+C751</f>
        <v>40</v>
      </c>
      <c r="D759" s="43" t="s">
        <v>3518</v>
      </c>
    </row>
    <row r="760" spans="1:8" x14ac:dyDescent="0.2">
      <c r="D760" s="43" t="s">
        <v>3519</v>
      </c>
    </row>
    <row r="761" spans="1:8" x14ac:dyDescent="0.2">
      <c r="E761" s="43" t="s">
        <v>3529</v>
      </c>
    </row>
    <row r="762" spans="1:8" x14ac:dyDescent="0.2">
      <c r="A762" s="652" t="s">
        <v>3520</v>
      </c>
      <c r="B762" s="652"/>
      <c r="C762" s="652"/>
      <c r="D762" s="652"/>
      <c r="E762" s="652"/>
      <c r="F762" s="652"/>
      <c r="G762" s="652"/>
      <c r="H762" s="652"/>
    </row>
    <row r="763" spans="1:8" x14ac:dyDescent="0.2">
      <c r="B763" s="49" t="s">
        <v>1855</v>
      </c>
      <c r="C763" s="49" t="s">
        <v>1856</v>
      </c>
    </row>
    <row r="764" spans="1:8" x14ac:dyDescent="0.2">
      <c r="A764" s="47">
        <v>0</v>
      </c>
      <c r="B764" s="47">
        <v>-100</v>
      </c>
      <c r="C764" s="47">
        <v>-100</v>
      </c>
    </row>
    <row r="765" spans="1:8" x14ac:dyDescent="0.2">
      <c r="A765" s="47">
        <v>1</v>
      </c>
      <c r="B765" s="47">
        <v>40</v>
      </c>
      <c r="C765" s="47">
        <v>30</v>
      </c>
    </row>
    <row r="766" spans="1:8" x14ac:dyDescent="0.2">
      <c r="A766" s="47">
        <v>2</v>
      </c>
      <c r="B766" s="47">
        <v>30</v>
      </c>
      <c r="C766" s="47">
        <v>40</v>
      </c>
    </row>
    <row r="767" spans="1:8" x14ac:dyDescent="0.2">
      <c r="A767" s="47">
        <v>3</v>
      </c>
      <c r="B767" s="47">
        <v>40</v>
      </c>
      <c r="C767" s="47">
        <v>30</v>
      </c>
    </row>
    <row r="768" spans="1:8" x14ac:dyDescent="0.2">
      <c r="A768" s="47">
        <v>4</v>
      </c>
      <c r="B768" s="47">
        <v>30</v>
      </c>
      <c r="C768" s="47">
        <v>40</v>
      </c>
    </row>
    <row r="769" spans="1:8" x14ac:dyDescent="0.2">
      <c r="A769" s="47"/>
      <c r="B769" s="47"/>
      <c r="C769" s="47"/>
    </row>
    <row r="770" spans="1:8" x14ac:dyDescent="0.2">
      <c r="A770" s="47" t="s">
        <v>2124</v>
      </c>
      <c r="B770" s="54">
        <v>0.1</v>
      </c>
      <c r="C770" s="54">
        <v>0.1</v>
      </c>
    </row>
    <row r="771" spans="1:8" x14ac:dyDescent="0.2">
      <c r="A771" s="47"/>
      <c r="B771" s="54"/>
      <c r="C771" s="54"/>
    </row>
    <row r="772" spans="1:8" x14ac:dyDescent="0.2">
      <c r="A772" s="47" t="s">
        <v>2126</v>
      </c>
      <c r="B772" s="296">
        <f>NPV(B770,B765:B768)+B764</f>
        <v>11.700020490403631</v>
      </c>
      <c r="C772" s="295">
        <f>NPV(C770,C765:C768)+C764</f>
        <v>10.190560754046828</v>
      </c>
      <c r="D772" s="43" t="s">
        <v>3521</v>
      </c>
    </row>
    <row r="773" spans="1:8" x14ac:dyDescent="0.2">
      <c r="A773" s="47"/>
      <c r="B773" s="54"/>
      <c r="C773" s="54"/>
      <c r="E773" s="43" t="s">
        <v>3528</v>
      </c>
    </row>
    <row r="774" spans="1:8" x14ac:dyDescent="0.2">
      <c r="A774" s="652" t="s">
        <v>3522</v>
      </c>
      <c r="B774" s="652"/>
      <c r="C774" s="652"/>
      <c r="D774" s="652"/>
      <c r="E774" s="652"/>
      <c r="F774" s="652"/>
      <c r="G774" s="652"/>
      <c r="H774" s="652"/>
    </row>
    <row r="775" spans="1:8" x14ac:dyDescent="0.2">
      <c r="B775" s="49" t="s">
        <v>1855</v>
      </c>
      <c r="C775" s="49" t="s">
        <v>1856</v>
      </c>
    </row>
    <row r="776" spans="1:8" x14ac:dyDescent="0.2">
      <c r="A776" s="47">
        <v>0</v>
      </c>
      <c r="B776" s="47">
        <v>-100</v>
      </c>
      <c r="C776" s="47">
        <v>-100</v>
      </c>
    </row>
    <row r="777" spans="1:8" x14ac:dyDescent="0.2">
      <c r="A777" s="47">
        <v>1</v>
      </c>
      <c r="B777" s="47">
        <v>40</v>
      </c>
      <c r="C777" s="47">
        <v>30</v>
      </c>
    </row>
    <row r="778" spans="1:8" x14ac:dyDescent="0.2">
      <c r="A778" s="47">
        <v>2</v>
      </c>
      <c r="B778" s="47">
        <v>30</v>
      </c>
      <c r="C778" s="47">
        <v>40</v>
      </c>
    </row>
    <row r="779" spans="1:8" x14ac:dyDescent="0.2">
      <c r="A779" s="47">
        <v>3</v>
      </c>
      <c r="B779" s="47">
        <v>40</v>
      </c>
      <c r="C779" s="47">
        <v>30</v>
      </c>
    </row>
    <row r="780" spans="1:8" x14ac:dyDescent="0.2">
      <c r="A780" s="47">
        <v>4</v>
      </c>
      <c r="B780" s="47">
        <v>30</v>
      </c>
      <c r="C780" s="47">
        <v>40</v>
      </c>
    </row>
    <row r="781" spans="1:8" x14ac:dyDescent="0.2">
      <c r="A781" s="47"/>
      <c r="B781" s="47"/>
      <c r="C781" s="47"/>
    </row>
    <row r="782" spans="1:8" x14ac:dyDescent="0.2">
      <c r="A782" s="47" t="s">
        <v>2125</v>
      </c>
      <c r="B782" s="72">
        <v>0.1547</v>
      </c>
      <c r="C782" s="72">
        <v>0.1547</v>
      </c>
    </row>
    <row r="783" spans="1:8" x14ac:dyDescent="0.2">
      <c r="A783" s="47"/>
      <c r="B783" s="54"/>
      <c r="C783" s="54"/>
    </row>
    <row r="784" spans="1:8" x14ac:dyDescent="0.2">
      <c r="A784" s="47" t="s">
        <v>2127</v>
      </c>
      <c r="B784" s="296">
        <f>NPV(B782,B777:B780)+B776</f>
        <v>-3.1167898822843654E-3</v>
      </c>
      <c r="C784" s="295">
        <f>NPV(C782,C777:C780)+C776</f>
        <v>-2.0335569947183672</v>
      </c>
      <c r="D784" s="43" t="s">
        <v>3523</v>
      </c>
    </row>
    <row r="785" spans="1:9" x14ac:dyDescent="0.2">
      <c r="A785" s="47"/>
      <c r="B785" s="54"/>
      <c r="C785" s="54"/>
      <c r="D785" s="43" t="s">
        <v>3524</v>
      </c>
    </row>
    <row r="786" spans="1:9" x14ac:dyDescent="0.2">
      <c r="A786" s="47"/>
      <c r="B786" s="54"/>
      <c r="C786" s="54"/>
      <c r="D786" s="43" t="s">
        <v>3525</v>
      </c>
    </row>
    <row r="787" spans="1:9" x14ac:dyDescent="0.2">
      <c r="A787" s="47"/>
      <c r="B787" s="54"/>
      <c r="C787" s="54"/>
      <c r="D787" s="43" t="s">
        <v>3526</v>
      </c>
    </row>
    <row r="788" spans="1:9" x14ac:dyDescent="0.2">
      <c r="A788" s="47"/>
      <c r="B788" s="54"/>
      <c r="C788" s="54"/>
      <c r="D788" s="43" t="s">
        <v>3527</v>
      </c>
    </row>
    <row r="789" spans="1:9" x14ac:dyDescent="0.2">
      <c r="A789" s="47"/>
      <c r="B789" s="54"/>
      <c r="C789" s="54"/>
      <c r="D789" s="44" t="s">
        <v>3530</v>
      </c>
      <c r="E789" s="44"/>
      <c r="F789" s="44"/>
      <c r="G789" s="44"/>
      <c r="H789" s="44"/>
      <c r="I789" s="44"/>
    </row>
    <row r="790" spans="1:9" x14ac:dyDescent="0.2">
      <c r="A790" s="47"/>
      <c r="B790" s="54"/>
      <c r="C790" s="54"/>
      <c r="D790" s="44" t="s">
        <v>3531</v>
      </c>
      <c r="E790" s="44"/>
      <c r="F790" s="44"/>
      <c r="G790" s="44"/>
      <c r="H790" s="44"/>
      <c r="I790" s="44"/>
    </row>
    <row r="791" spans="1:9" x14ac:dyDescent="0.2">
      <c r="A791" s="47"/>
      <c r="B791" s="54"/>
      <c r="C791" s="54"/>
      <c r="D791" s="44" t="s">
        <v>3532</v>
      </c>
      <c r="E791" s="44"/>
      <c r="F791" s="44"/>
      <c r="G791" s="44"/>
      <c r="H791" s="44"/>
      <c r="I791" s="44"/>
    </row>
    <row r="792" spans="1:9" x14ac:dyDescent="0.2">
      <c r="A792" s="47"/>
      <c r="B792" s="54"/>
      <c r="C792" s="54"/>
    </row>
    <row r="793" spans="1:9" x14ac:dyDescent="0.2">
      <c r="A793" s="275" t="s">
        <v>3533</v>
      </c>
      <c r="B793" s="54"/>
      <c r="C793" s="54"/>
    </row>
    <row r="794" spans="1:9" x14ac:dyDescent="0.2">
      <c r="A794" s="47"/>
      <c r="B794" s="54"/>
      <c r="C794" s="54"/>
    </row>
    <row r="795" spans="1:9" x14ac:dyDescent="0.2">
      <c r="A795" s="732"/>
      <c r="B795" s="732"/>
      <c r="C795" s="732"/>
      <c r="D795" s="732"/>
      <c r="E795" s="732"/>
      <c r="F795" s="732"/>
      <c r="G795" s="732"/>
      <c r="H795" s="732"/>
    </row>
    <row r="796" spans="1:9" x14ac:dyDescent="0.2">
      <c r="A796" s="732"/>
      <c r="B796" s="732"/>
      <c r="C796" s="732"/>
      <c r="D796" s="732"/>
      <c r="E796" s="732"/>
      <c r="F796" s="732"/>
      <c r="G796" s="732"/>
      <c r="H796" s="732"/>
    </row>
    <row r="797" spans="1:9" x14ac:dyDescent="0.2">
      <c r="A797" s="732"/>
      <c r="B797" s="732"/>
      <c r="C797" s="732"/>
      <c r="D797" s="732"/>
      <c r="E797" s="732"/>
      <c r="F797" s="732"/>
      <c r="G797" s="732"/>
      <c r="H797" s="732"/>
    </row>
    <row r="801" spans="1:8" x14ac:dyDescent="0.2">
      <c r="A801" s="278" t="s">
        <v>2128</v>
      </c>
      <c r="B801" s="278"/>
      <c r="C801" s="278"/>
      <c r="D801" s="278"/>
      <c r="E801" s="278"/>
      <c r="F801" s="278"/>
      <c r="G801" s="278"/>
      <c r="H801" s="278"/>
    </row>
    <row r="814" spans="1:8" x14ac:dyDescent="0.2">
      <c r="A814" s="278" t="s">
        <v>2129</v>
      </c>
      <c r="B814" s="278"/>
      <c r="C814" s="278"/>
      <c r="D814" s="278"/>
      <c r="E814" s="278"/>
      <c r="F814" s="278"/>
      <c r="G814" s="278"/>
      <c r="H814" s="278"/>
    </row>
    <row r="815" spans="1:8" x14ac:dyDescent="0.2">
      <c r="A815" s="43" t="s">
        <v>2130</v>
      </c>
    </row>
    <row r="816" spans="1:8" x14ac:dyDescent="0.2">
      <c r="A816" s="43" t="s">
        <v>2131</v>
      </c>
    </row>
    <row r="817" spans="1:5" x14ac:dyDescent="0.2">
      <c r="A817" s="43" t="s">
        <v>2132</v>
      </c>
    </row>
    <row r="819" spans="1:5" ht="16" x14ac:dyDescent="0.2">
      <c r="D819" s="161">
        <v>3.0000000000000001E-3</v>
      </c>
      <c r="E819" s="92" t="s">
        <v>87</v>
      </c>
    </row>
    <row r="820" spans="1:5" ht="16" x14ac:dyDescent="0.2">
      <c r="D820" s="43">
        <f>25*12</f>
        <v>300</v>
      </c>
      <c r="E820" s="92" t="s">
        <v>89</v>
      </c>
    </row>
    <row r="821" spans="1:5" ht="16" x14ac:dyDescent="0.2">
      <c r="D821" s="74">
        <v>1000000</v>
      </c>
      <c r="E821" s="92" t="s">
        <v>281</v>
      </c>
    </row>
    <row r="822" spans="1:5" ht="16" x14ac:dyDescent="0.2">
      <c r="A822" s="43" t="s">
        <v>2133</v>
      </c>
      <c r="D822" s="297">
        <f>PMT(D819,D820,D821,D823,D824)</f>
        <v>-5060.0271243984489</v>
      </c>
      <c r="E822" s="92" t="s">
        <v>91</v>
      </c>
    </row>
    <row r="823" spans="1:5" ht="16" x14ac:dyDescent="0.2">
      <c r="D823" s="43">
        <v>0</v>
      </c>
      <c r="E823" s="92" t="s">
        <v>105</v>
      </c>
    </row>
    <row r="824" spans="1:5" ht="16" x14ac:dyDescent="0.2">
      <c r="D824" s="43">
        <v>0</v>
      </c>
      <c r="E824" s="92" t="s">
        <v>328</v>
      </c>
    </row>
    <row r="826" spans="1:5" ht="16" x14ac:dyDescent="0.2">
      <c r="D826" s="161">
        <v>3.0000000000000001E-3</v>
      </c>
      <c r="E826" s="92" t="s">
        <v>87</v>
      </c>
    </row>
    <row r="827" spans="1:5" ht="16" x14ac:dyDescent="0.2">
      <c r="D827" s="43">
        <f>300-120</f>
        <v>180</v>
      </c>
      <c r="E827" s="92" t="s">
        <v>89</v>
      </c>
    </row>
    <row r="828" spans="1:5" ht="16" x14ac:dyDescent="0.2">
      <c r="A828" s="43" t="s">
        <v>2134</v>
      </c>
      <c r="D828" s="298">
        <f>PV(D826,D827,D829,D830,D831)</f>
        <v>702973.49945856037</v>
      </c>
      <c r="E828" s="92" t="s">
        <v>281</v>
      </c>
    </row>
    <row r="829" spans="1:5" ht="16" x14ac:dyDescent="0.2">
      <c r="D829" s="297">
        <f>D822</f>
        <v>-5060.0271243984489</v>
      </c>
      <c r="E829" s="92" t="s">
        <v>91</v>
      </c>
    </row>
    <row r="830" spans="1:5" ht="16" x14ac:dyDescent="0.2">
      <c r="D830" s="43">
        <v>0</v>
      </c>
      <c r="E830" s="92" t="s">
        <v>105</v>
      </c>
    </row>
    <row r="831" spans="1:5" ht="16" x14ac:dyDescent="0.2">
      <c r="D831" s="43">
        <v>0</v>
      </c>
      <c r="E831" s="92" t="s">
        <v>328</v>
      </c>
    </row>
    <row r="832" spans="1:5" ht="16" x14ac:dyDescent="0.2">
      <c r="E832" s="92"/>
    </row>
    <row r="833" spans="1:8" x14ac:dyDescent="0.2">
      <c r="A833" s="43" t="s">
        <v>2135</v>
      </c>
    </row>
    <row r="834" spans="1:8" x14ac:dyDescent="0.2">
      <c r="A834" s="274">
        <f>D828*1.01^5*1.02^2*1^3</f>
        <v>768681.03428546432</v>
      </c>
      <c r="E834" s="43" t="s">
        <v>2136</v>
      </c>
    </row>
    <row r="836" spans="1:8" ht="16" thickBot="1" x14ac:dyDescent="0.25">
      <c r="A836" s="44" t="s">
        <v>2025</v>
      </c>
    </row>
    <row r="837" spans="1:8" x14ac:dyDescent="0.2">
      <c r="A837" s="277"/>
      <c r="B837" s="212"/>
      <c r="C837" s="212"/>
      <c r="D837" s="212"/>
      <c r="E837" s="212"/>
      <c r="F837" s="212"/>
      <c r="G837" s="212"/>
      <c r="H837" s="213"/>
    </row>
    <row r="838" spans="1:8" x14ac:dyDescent="0.2">
      <c r="A838" s="276"/>
      <c r="H838" s="215"/>
    </row>
    <row r="839" spans="1:8" x14ac:dyDescent="0.2">
      <c r="A839" s="276"/>
      <c r="H839" s="215"/>
    </row>
    <row r="840" spans="1:8" x14ac:dyDescent="0.2">
      <c r="A840" s="276"/>
      <c r="H840" s="215"/>
    </row>
    <row r="841" spans="1:8" x14ac:dyDescent="0.2">
      <c r="A841" s="276"/>
      <c r="H841" s="215"/>
    </row>
    <row r="842" spans="1:8" x14ac:dyDescent="0.2">
      <c r="A842" s="276"/>
      <c r="H842" s="215"/>
    </row>
    <row r="843" spans="1:8" x14ac:dyDescent="0.2">
      <c r="A843" s="276"/>
      <c r="H843" s="215"/>
    </row>
    <row r="844" spans="1:8" x14ac:dyDescent="0.2">
      <c r="A844" s="276"/>
      <c r="H844" s="215"/>
    </row>
    <row r="845" spans="1:8" x14ac:dyDescent="0.2">
      <c r="A845" s="276"/>
      <c r="H845" s="215"/>
    </row>
    <row r="846" spans="1:8" x14ac:dyDescent="0.2">
      <c r="A846" s="276"/>
      <c r="H846" s="215"/>
    </row>
    <row r="847" spans="1:8" ht="16" thickBot="1" x14ac:dyDescent="0.25">
      <c r="A847" s="234"/>
      <c r="B847" s="217"/>
      <c r="C847" s="217"/>
      <c r="D847" s="217"/>
      <c r="E847" s="217"/>
      <c r="F847" s="217"/>
      <c r="G847" s="217"/>
      <c r="H847" s="218"/>
    </row>
  </sheetData>
  <mergeCells count="2">
    <mergeCell ref="A1:H1"/>
    <mergeCell ref="C513:C51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03">
        <v>45742</v>
      </c>
    </row>
    <row r="3" spans="1:8" x14ac:dyDescent="0.2">
      <c r="A3" s="279" t="s">
        <v>48</v>
      </c>
      <c r="B3" s="279"/>
      <c r="C3" s="279"/>
      <c r="D3" s="279"/>
      <c r="E3" s="279"/>
      <c r="F3" s="279"/>
      <c r="G3" s="279"/>
      <c r="H3" s="279"/>
    </row>
    <row r="4" spans="1:8" x14ac:dyDescent="0.2">
      <c r="A4" s="43" t="s">
        <v>2236</v>
      </c>
    </row>
    <row r="5" spans="1:8" x14ac:dyDescent="0.2">
      <c r="A5" s="43" t="s">
        <v>49</v>
      </c>
    </row>
    <row r="6" spans="1:8" x14ac:dyDescent="0.2">
      <c r="A6" s="43" t="s">
        <v>2237</v>
      </c>
    </row>
    <row r="7" spans="1:8" x14ac:dyDescent="0.2">
      <c r="A7" s="43" t="s">
        <v>2238</v>
      </c>
    </row>
    <row r="9" spans="1:8" x14ac:dyDescent="0.2">
      <c r="A9" s="279" t="s">
        <v>50</v>
      </c>
      <c r="B9" s="279"/>
      <c r="C9" s="279"/>
      <c r="D9" s="279"/>
      <c r="E9" s="279"/>
      <c r="F9" s="279"/>
      <c r="G9" s="279"/>
      <c r="H9" s="279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279" t="s">
        <v>53</v>
      </c>
      <c r="B13" s="279"/>
      <c r="C13" s="279"/>
      <c r="D13" s="279"/>
      <c r="E13" s="279"/>
      <c r="F13" s="279"/>
      <c r="G13" s="279"/>
      <c r="H13" s="279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21" t="s">
        <v>58</v>
      </c>
      <c r="B19" s="522"/>
      <c r="C19" s="522"/>
      <c r="D19" s="522"/>
      <c r="E19" s="522"/>
      <c r="F19" s="522"/>
      <c r="G19" s="522"/>
      <c r="H19" s="52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279" t="s">
        <v>62</v>
      </c>
      <c r="B24" s="279"/>
      <c r="C24" s="279"/>
      <c r="D24" s="279"/>
      <c r="E24" s="279"/>
      <c r="F24" s="279"/>
      <c r="G24" s="279"/>
      <c r="H24" s="279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16" t="s">
        <v>2689</v>
      </c>
      <c r="B71" s="516"/>
      <c r="C71" s="516"/>
      <c r="D71" s="516"/>
      <c r="E71" s="516"/>
      <c r="F71" s="516"/>
      <c r="G71" s="516"/>
      <c r="H71" s="516"/>
    </row>
    <row r="72" spans="1:8" ht="16" thickBot="1" x14ac:dyDescent="0.25"/>
    <row r="73" spans="1:8" ht="16" thickBot="1" x14ac:dyDescent="0.25">
      <c r="A73" s="207" t="s">
        <v>2682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2690</v>
      </c>
    </row>
    <row r="76" spans="1:8" x14ac:dyDescent="0.2">
      <c r="A76" s="43" t="s">
        <v>2691</v>
      </c>
    </row>
    <row r="78" spans="1:8" x14ac:dyDescent="0.2">
      <c r="A78" s="43" t="s">
        <v>111</v>
      </c>
    </row>
    <row r="80" spans="1:8" x14ac:dyDescent="0.2">
      <c r="A80" s="43" t="s">
        <v>2706</v>
      </c>
    </row>
    <row r="81" spans="1:8" x14ac:dyDescent="0.2">
      <c r="A81" s="43" t="s">
        <v>2707</v>
      </c>
    </row>
    <row r="83" spans="1:8" x14ac:dyDescent="0.2">
      <c r="F83" s="43" t="s">
        <v>2708</v>
      </c>
      <c r="H83" s="43" t="s">
        <v>2715</v>
      </c>
    </row>
    <row r="84" spans="1:8" x14ac:dyDescent="0.2">
      <c r="H84" s="43" t="s">
        <v>2716</v>
      </c>
    </row>
    <row r="85" spans="1:8" x14ac:dyDescent="0.2">
      <c r="H85" s="43" t="s">
        <v>2717</v>
      </c>
    </row>
    <row r="86" spans="1:8" x14ac:dyDescent="0.2">
      <c r="D86" s="43" t="s">
        <v>2718</v>
      </c>
      <c r="F86" s="43" t="s">
        <v>2709</v>
      </c>
    </row>
    <row r="87" spans="1:8" x14ac:dyDescent="0.2">
      <c r="D87" s="43" t="s">
        <v>2719</v>
      </c>
      <c r="F87" s="43" t="s">
        <v>2710</v>
      </c>
    </row>
    <row r="88" spans="1:8" x14ac:dyDescent="0.2">
      <c r="D88" s="43" t="s">
        <v>2720</v>
      </c>
      <c r="F88" s="43" t="s">
        <v>2711</v>
      </c>
    </row>
    <row r="89" spans="1:8" x14ac:dyDescent="0.2">
      <c r="D89" s="43" t="s">
        <v>2721</v>
      </c>
      <c r="F89" s="43" t="s">
        <v>2712</v>
      </c>
    </row>
    <row r="90" spans="1:8" x14ac:dyDescent="0.2">
      <c r="D90" s="43" t="s">
        <v>2722</v>
      </c>
      <c r="F90" s="43" t="s">
        <v>2713</v>
      </c>
    </row>
    <row r="91" spans="1:8" x14ac:dyDescent="0.2">
      <c r="D91" s="44" t="s">
        <v>2723</v>
      </c>
      <c r="F91" s="43" t="s">
        <v>2714</v>
      </c>
    </row>
    <row r="92" spans="1:8" x14ac:dyDescent="0.2">
      <c r="D92" s="43" t="s">
        <v>2726</v>
      </c>
    </row>
    <row r="93" spans="1:8" x14ac:dyDescent="0.2">
      <c r="D93" s="43" t="s">
        <v>2724</v>
      </c>
    </row>
    <row r="94" spans="1:8" x14ac:dyDescent="0.2">
      <c r="D94" s="43" t="s">
        <v>2725</v>
      </c>
    </row>
    <row r="95" spans="1:8" x14ac:dyDescent="0.2">
      <c r="D95" s="43" t="s">
        <v>70</v>
      </c>
    </row>
    <row r="96" spans="1:8" x14ac:dyDescent="0.2">
      <c r="H96" s="43" t="s">
        <v>2728</v>
      </c>
    </row>
    <row r="97" spans="1:8" x14ac:dyDescent="0.2">
      <c r="F97" s="43" t="s">
        <v>2727</v>
      </c>
      <c r="H97" s="43" t="s">
        <v>2729</v>
      </c>
    </row>
    <row r="99" spans="1:8" x14ac:dyDescent="0.2">
      <c r="A99" s="44" t="s">
        <v>2683</v>
      </c>
    </row>
    <row r="101" spans="1:8" x14ac:dyDescent="0.2">
      <c r="A101" s="43" t="s">
        <v>2692</v>
      </c>
    </row>
    <row r="102" spans="1:8" x14ac:dyDescent="0.2">
      <c r="A102" s="43" t="s">
        <v>2693</v>
      </c>
    </row>
    <row r="104" spans="1:8" x14ac:dyDescent="0.2">
      <c r="D104" s="48">
        <f>50000*(1+7%*3+9%*5)</f>
        <v>83000</v>
      </c>
      <c r="G104" s="43" t="s">
        <v>2730</v>
      </c>
    </row>
    <row r="107" spans="1:8" x14ac:dyDescent="0.2">
      <c r="E107" s="43" t="s">
        <v>2734</v>
      </c>
      <c r="G107" s="43" t="s">
        <v>2731</v>
      </c>
    </row>
    <row r="108" spans="1:8" x14ac:dyDescent="0.2">
      <c r="E108" s="43" t="s">
        <v>2735</v>
      </c>
      <c r="G108" s="43" t="s">
        <v>2732</v>
      </c>
    </row>
    <row r="109" spans="1:8" x14ac:dyDescent="0.2">
      <c r="E109" s="43" t="s">
        <v>2736</v>
      </c>
      <c r="G109" s="43" t="s">
        <v>2733</v>
      </c>
    </row>
    <row r="110" spans="1:8" x14ac:dyDescent="0.2">
      <c r="E110" s="43" t="s">
        <v>2737</v>
      </c>
    </row>
    <row r="111" spans="1:8" x14ac:dyDescent="0.2">
      <c r="E111" s="43" t="s">
        <v>2738</v>
      </c>
    </row>
    <row r="112" spans="1:8" x14ac:dyDescent="0.2">
      <c r="E112" s="43" t="s">
        <v>2739</v>
      </c>
    </row>
    <row r="114" spans="1:7" x14ac:dyDescent="0.2">
      <c r="G114" s="43" t="s">
        <v>2740</v>
      </c>
    </row>
    <row r="117" spans="1:7" x14ac:dyDescent="0.2">
      <c r="E117" s="43" t="s">
        <v>2743</v>
      </c>
      <c r="G117" s="43" t="s">
        <v>2741</v>
      </c>
    </row>
    <row r="118" spans="1:7" x14ac:dyDescent="0.2">
      <c r="E118" s="43" t="s">
        <v>2744</v>
      </c>
      <c r="G118" s="43" t="s">
        <v>2742</v>
      </c>
    </row>
    <row r="119" spans="1:7" x14ac:dyDescent="0.2">
      <c r="E119" s="43" t="s">
        <v>2745</v>
      </c>
    </row>
    <row r="120" spans="1:7" x14ac:dyDescent="0.2">
      <c r="E120" s="43" t="s">
        <v>2746</v>
      </c>
    </row>
    <row r="121" spans="1:7" x14ac:dyDescent="0.2">
      <c r="E121" s="43" t="s">
        <v>2747</v>
      </c>
    </row>
    <row r="122" spans="1:7" x14ac:dyDescent="0.2">
      <c r="E122" s="43" t="s">
        <v>2748</v>
      </c>
    </row>
    <row r="124" spans="1:7" x14ac:dyDescent="0.2">
      <c r="A124" s="44" t="s">
        <v>2684</v>
      </c>
    </row>
    <row r="126" spans="1:7" x14ac:dyDescent="0.2">
      <c r="A126" s="43" t="s">
        <v>2694</v>
      </c>
    </row>
    <row r="127" spans="1:7" x14ac:dyDescent="0.2">
      <c r="A127" s="43" t="s">
        <v>2695</v>
      </c>
    </row>
    <row r="129" spans="1:6" x14ac:dyDescent="0.2">
      <c r="A129" s="43" t="s">
        <v>111</v>
      </c>
    </row>
    <row r="131" spans="1:6" x14ac:dyDescent="0.2">
      <c r="A131" s="43" t="s">
        <v>2749</v>
      </c>
    </row>
    <row r="132" spans="1:6" x14ac:dyDescent="0.2">
      <c r="A132" s="43" t="s">
        <v>2750</v>
      </c>
    </row>
    <row r="134" spans="1:6" x14ac:dyDescent="0.2">
      <c r="F134" s="43" t="s">
        <v>2751</v>
      </c>
    </row>
    <row r="136" spans="1:6" x14ac:dyDescent="0.2">
      <c r="A136" s="43" t="s">
        <v>2752</v>
      </c>
    </row>
    <row r="137" spans="1:6" x14ac:dyDescent="0.2">
      <c r="A137" s="43" t="s">
        <v>2753</v>
      </c>
    </row>
    <row r="138" spans="1:6" x14ac:dyDescent="0.2">
      <c r="A138" s="43" t="s">
        <v>2754</v>
      </c>
    </row>
    <row r="139" spans="1:6" x14ac:dyDescent="0.2">
      <c r="A139" s="43" t="s">
        <v>2755</v>
      </c>
    </row>
    <row r="141" spans="1:6" x14ac:dyDescent="0.2">
      <c r="A141" s="43" t="s">
        <v>2756</v>
      </c>
    </row>
    <row r="142" spans="1:6" x14ac:dyDescent="0.2">
      <c r="D142" s="74">
        <f>90000*1.05^10</f>
        <v>146600.51640996974</v>
      </c>
      <c r="F142" s="43" t="s">
        <v>2757</v>
      </c>
    </row>
    <row r="145" spans="1:8" x14ac:dyDescent="0.2">
      <c r="D145" s="43" t="s">
        <v>2760</v>
      </c>
      <c r="F145" s="43" t="s">
        <v>2758</v>
      </c>
    </row>
    <row r="146" spans="1:8" x14ac:dyDescent="0.2">
      <c r="D146" s="43" t="s">
        <v>2761</v>
      </c>
      <c r="F146" s="43" t="s">
        <v>2759</v>
      </c>
    </row>
    <row r="147" spans="1:8" x14ac:dyDescent="0.2">
      <c r="D147" s="43" t="s">
        <v>2762</v>
      </c>
    </row>
    <row r="148" spans="1:8" x14ac:dyDescent="0.2">
      <c r="D148" s="43" t="s">
        <v>2763</v>
      </c>
    </row>
    <row r="149" spans="1:8" x14ac:dyDescent="0.2">
      <c r="D149" s="43" t="s">
        <v>2764</v>
      </c>
      <c r="H149" s="43" t="s">
        <v>2766</v>
      </c>
    </row>
    <row r="150" spans="1:8" x14ac:dyDescent="0.2">
      <c r="H150" s="43" t="s">
        <v>2767</v>
      </c>
    </row>
    <row r="151" spans="1:8" x14ac:dyDescent="0.2">
      <c r="F151" s="43" t="s">
        <v>2765</v>
      </c>
      <c r="H151" s="43" t="s">
        <v>2768</v>
      </c>
    </row>
    <row r="152" spans="1:8" x14ac:dyDescent="0.2">
      <c r="H152" s="43" t="s">
        <v>2769</v>
      </c>
    </row>
    <row r="153" spans="1:8" x14ac:dyDescent="0.2">
      <c r="H153" s="43" t="s">
        <v>2770</v>
      </c>
    </row>
    <row r="155" spans="1:8" x14ac:dyDescent="0.2">
      <c r="A155" s="43" t="s">
        <v>2771</v>
      </c>
    </row>
    <row r="157" spans="1:8" x14ac:dyDescent="0.2">
      <c r="E157" s="54">
        <v>0.05</v>
      </c>
      <c r="F157" s="43" t="s">
        <v>87</v>
      </c>
      <c r="G157" s="43" t="s">
        <v>2772</v>
      </c>
    </row>
    <row r="158" spans="1:8" x14ac:dyDescent="0.2">
      <c r="E158" s="47">
        <v>10</v>
      </c>
      <c r="F158" s="43" t="s">
        <v>89</v>
      </c>
      <c r="G158" s="43" t="s">
        <v>2773</v>
      </c>
    </row>
    <row r="159" spans="1:8" x14ac:dyDescent="0.2">
      <c r="E159" s="48">
        <v>0</v>
      </c>
      <c r="F159" s="43" t="s">
        <v>91</v>
      </c>
      <c r="G159" s="43" t="s">
        <v>2774</v>
      </c>
    </row>
    <row r="160" spans="1:8" x14ac:dyDescent="0.2">
      <c r="A160" s="43" t="s">
        <v>2777</v>
      </c>
      <c r="E160" s="48">
        <v>-90000</v>
      </c>
      <c r="F160" s="43" t="s">
        <v>281</v>
      </c>
      <c r="G160" s="43" t="s">
        <v>2775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2776</v>
      </c>
    </row>
    <row r="163" spans="1:7" x14ac:dyDescent="0.2">
      <c r="A163" s="43" t="s">
        <v>2778</v>
      </c>
    </row>
    <row r="164" spans="1:7" x14ac:dyDescent="0.2">
      <c r="A164" s="43" t="s">
        <v>2779</v>
      </c>
    </row>
    <row r="166" spans="1:7" x14ac:dyDescent="0.2">
      <c r="A166" s="44" t="s">
        <v>2685</v>
      </c>
    </row>
    <row r="168" spans="1:7" x14ac:dyDescent="0.2">
      <c r="A168" s="43" t="s">
        <v>2699</v>
      </c>
    </row>
    <row r="169" spans="1:7" x14ac:dyDescent="0.2">
      <c r="A169" s="43" t="s">
        <v>2696</v>
      </c>
    </row>
    <row r="170" spans="1:7" x14ac:dyDescent="0.2">
      <c r="A170" s="43" t="s">
        <v>2697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2780</v>
      </c>
    </row>
    <row r="176" spans="1:7" x14ac:dyDescent="0.2">
      <c r="F176" s="43" t="s">
        <v>2781</v>
      </c>
    </row>
    <row r="178" spans="1:6" x14ac:dyDescent="0.2">
      <c r="A178" s="43" t="s">
        <v>2782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2785</v>
      </c>
      <c r="C181" s="49" t="s">
        <v>2784</v>
      </c>
      <c r="D181" s="49" t="s">
        <v>2783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2772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2773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2774</v>
      </c>
    </row>
    <row r="185" spans="1:6" x14ac:dyDescent="0.2">
      <c r="B185" s="284">
        <f>-C186</f>
        <v>-30607.30107002881</v>
      </c>
      <c r="C185" s="513">
        <f>-D186</f>
        <v>-22497.280000000002</v>
      </c>
      <c r="D185" s="48">
        <v>-20000</v>
      </c>
      <c r="E185" s="43" t="s">
        <v>281</v>
      </c>
      <c r="F185" s="43" t="s">
        <v>2775</v>
      </c>
    </row>
    <row r="186" spans="1:6" x14ac:dyDescent="0.2">
      <c r="B186" s="150">
        <f>FV(B182,B183,B184,B185)</f>
        <v>37034.834294734865</v>
      </c>
      <c r="C186" s="284">
        <f>FV(C182,C183,C184,C185)</f>
        <v>30607.30107002881</v>
      </c>
      <c r="D186" s="513">
        <f>FV(D182,D183,D184,D185)</f>
        <v>22497.280000000002</v>
      </c>
      <c r="E186" s="43" t="s">
        <v>105</v>
      </c>
      <c r="F186" s="43" t="s">
        <v>2776</v>
      </c>
    </row>
    <row r="188" spans="1:6" x14ac:dyDescent="0.2">
      <c r="A188" s="43" t="s">
        <v>2786</v>
      </c>
    </row>
    <row r="189" spans="1:6" x14ac:dyDescent="0.2">
      <c r="A189" s="43" t="s">
        <v>2787</v>
      </c>
    </row>
    <row r="190" spans="1:6" x14ac:dyDescent="0.2">
      <c r="A190" s="43" t="s">
        <v>2788</v>
      </c>
    </row>
    <row r="191" spans="1:6" x14ac:dyDescent="0.2">
      <c r="A191" s="43" t="s">
        <v>2789</v>
      </c>
    </row>
    <row r="192" spans="1:6" x14ac:dyDescent="0.2">
      <c r="A192" s="43" t="s">
        <v>2790</v>
      </c>
    </row>
    <row r="193" spans="1:7" x14ac:dyDescent="0.2">
      <c r="A193" s="43" t="s">
        <v>2791</v>
      </c>
    </row>
    <row r="195" spans="1:7" x14ac:dyDescent="0.2">
      <c r="A195" s="44" t="s">
        <v>2686</v>
      </c>
    </row>
    <row r="197" spans="1:7" x14ac:dyDescent="0.2">
      <c r="A197" s="43" t="s">
        <v>2795</v>
      </c>
    </row>
    <row r="198" spans="1:7" x14ac:dyDescent="0.2">
      <c r="A198" s="43" t="s">
        <v>2794</v>
      </c>
    </row>
    <row r="199" spans="1:7" x14ac:dyDescent="0.2">
      <c r="A199" s="43" t="s">
        <v>2698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2796</v>
      </c>
      <c r="C202" s="47"/>
      <c r="D202" s="49" t="s">
        <v>2793</v>
      </c>
      <c r="E202" s="49" t="s">
        <v>2792</v>
      </c>
    </row>
    <row r="203" spans="1:7" x14ac:dyDescent="0.2">
      <c r="A203" s="43" t="s">
        <v>2797</v>
      </c>
      <c r="C203" s="54"/>
      <c r="D203" s="54">
        <v>0.03</v>
      </c>
      <c r="E203" s="54">
        <v>0.01</v>
      </c>
      <c r="F203" s="43" t="s">
        <v>87</v>
      </c>
      <c r="G203" s="43" t="s">
        <v>2772</v>
      </c>
    </row>
    <row r="204" spans="1:7" x14ac:dyDescent="0.2">
      <c r="A204" s="43" t="s">
        <v>2798</v>
      </c>
      <c r="C204" s="47"/>
      <c r="D204" s="121">
        <f>6*12</f>
        <v>72</v>
      </c>
      <c r="E204" s="47">
        <v>4</v>
      </c>
      <c r="F204" s="43" t="s">
        <v>89</v>
      </c>
      <c r="G204" s="43" t="s">
        <v>2773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2774</v>
      </c>
    </row>
    <row r="206" spans="1:7" x14ac:dyDescent="0.2">
      <c r="C206" s="48"/>
      <c r="D206" s="513">
        <f>-E207</f>
        <v>-20812.0802</v>
      </c>
      <c r="E206" s="48">
        <v>-20000</v>
      </c>
      <c r="F206" s="43" t="s">
        <v>281</v>
      </c>
      <c r="G206" s="43" t="s">
        <v>2775</v>
      </c>
    </row>
    <row r="207" spans="1:7" x14ac:dyDescent="0.2">
      <c r="C207" s="48"/>
      <c r="D207" s="608">
        <f>FV(D203,D204,D205,D206)</f>
        <v>174821.83303323836</v>
      </c>
      <c r="E207" s="513">
        <f>FV(E203,E204,E205,E206)</f>
        <v>20812.0802</v>
      </c>
      <c r="F207" s="43" t="s">
        <v>105</v>
      </c>
      <c r="G207" s="43" t="s">
        <v>2776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2687</v>
      </c>
    </row>
    <row r="212" spans="1:6" x14ac:dyDescent="0.2">
      <c r="A212" s="43" t="s">
        <v>2700</v>
      </c>
    </row>
    <row r="213" spans="1:6" x14ac:dyDescent="0.2">
      <c r="A213" s="43" t="s">
        <v>2701</v>
      </c>
    </row>
    <row r="215" spans="1:6" x14ac:dyDescent="0.2">
      <c r="A215" s="43" t="s">
        <v>2800</v>
      </c>
      <c r="E215" s="43" t="s">
        <v>2799</v>
      </c>
    </row>
    <row r="217" spans="1:6" x14ac:dyDescent="0.2">
      <c r="A217" s="43" t="s">
        <v>2801</v>
      </c>
    </row>
    <row r="219" spans="1:6" x14ac:dyDescent="0.2">
      <c r="C219" s="43" t="s">
        <v>196</v>
      </c>
      <c r="E219" s="609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2688</v>
      </c>
    </row>
    <row r="236" spans="1:1" x14ac:dyDescent="0.2">
      <c r="A236" s="43" t="s">
        <v>2702</v>
      </c>
    </row>
    <row r="237" spans="1:1" x14ac:dyDescent="0.2">
      <c r="A237" s="43" t="s">
        <v>2703</v>
      </c>
    </row>
    <row r="238" spans="1:1" x14ac:dyDescent="0.2">
      <c r="A238" s="43" t="s">
        <v>2704</v>
      </c>
    </row>
    <row r="256" spans="1:1" x14ac:dyDescent="0.2">
      <c r="A256" s="44" t="s">
        <v>2705</v>
      </c>
    </row>
    <row r="261" spans="1:8" x14ac:dyDescent="0.2">
      <c r="A261" s="158" t="s">
        <v>2239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2240</v>
      </c>
    </row>
    <row r="269" spans="1:8" x14ac:dyDescent="0.2">
      <c r="A269" s="43" t="s">
        <v>2241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91" t="s">
        <v>2242</v>
      </c>
      <c r="E276" s="691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2243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2245</v>
      </c>
      <c r="D282" s="43" t="s">
        <v>2244</v>
      </c>
    </row>
    <row r="283" spans="1:7" x14ac:dyDescent="0.2">
      <c r="A283" s="43" t="s">
        <v>2246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2249</v>
      </c>
      <c r="E287" s="44" t="s">
        <v>2248</v>
      </c>
      <c r="F287" s="44" t="s">
        <v>2247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2250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2251</v>
      </c>
      <c r="B294" s="158"/>
      <c r="C294" s="158"/>
      <c r="D294" s="158"/>
      <c r="E294" s="158"/>
      <c r="F294" s="158" t="s">
        <v>123</v>
      </c>
      <c r="G294" s="158"/>
      <c r="H294" s="302"/>
    </row>
    <row r="295" spans="1:8" x14ac:dyDescent="0.2">
      <c r="A295" s="43" t="s">
        <v>124</v>
      </c>
    </row>
    <row r="296" spans="1:8" x14ac:dyDescent="0.2">
      <c r="A296" s="43" t="s">
        <v>2252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2253</v>
      </c>
    </row>
    <row r="312" spans="1:7" x14ac:dyDescent="0.2">
      <c r="B312" s="48"/>
      <c r="C312" s="47" t="s">
        <v>2254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2255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19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2258</v>
      </c>
      <c r="F345" s="43" t="s">
        <v>2256</v>
      </c>
    </row>
    <row r="346" spans="1:7" x14ac:dyDescent="0.2">
      <c r="C346" s="43" t="s">
        <v>2259</v>
      </c>
      <c r="E346" s="43" t="s">
        <v>2257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2260</v>
      </c>
      <c r="F353" s="77"/>
      <c r="G353" s="77">
        <v>0.04</v>
      </c>
      <c r="H353" s="43" t="s">
        <v>87</v>
      </c>
    </row>
    <row r="354" spans="1:8" x14ac:dyDescent="0.2">
      <c r="C354" s="43" t="s">
        <v>2261</v>
      </c>
      <c r="G354" s="43">
        <v>10</v>
      </c>
      <c r="H354" s="43" t="s">
        <v>89</v>
      </c>
    </row>
    <row r="355" spans="1:8" x14ac:dyDescent="0.2">
      <c r="C355" s="43" t="s">
        <v>2262</v>
      </c>
      <c r="G355" s="43">
        <v>0</v>
      </c>
      <c r="H355" s="43" t="s">
        <v>91</v>
      </c>
    </row>
    <row r="356" spans="1:8" x14ac:dyDescent="0.2">
      <c r="C356" s="43" t="s">
        <v>2263</v>
      </c>
      <c r="G356" s="43">
        <v>-5000</v>
      </c>
      <c r="H356" s="43" t="s">
        <v>281</v>
      </c>
    </row>
    <row r="357" spans="1:8" x14ac:dyDescent="0.2">
      <c r="C357" s="43" t="s">
        <v>2265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2264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02" t="s">
        <v>141</v>
      </c>
      <c r="B362" s="302"/>
      <c r="C362" s="302"/>
      <c r="D362" s="302"/>
      <c r="E362" s="302"/>
      <c r="F362" s="302" t="s">
        <v>142</v>
      </c>
      <c r="G362" s="302"/>
      <c r="H362" s="302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2270</v>
      </c>
      <c r="D379" s="49" t="s">
        <v>2268</v>
      </c>
      <c r="E379" s="49" t="s">
        <v>2267</v>
      </c>
      <c r="F379" s="49" t="s">
        <v>2266</v>
      </c>
      <c r="I379" s="43" t="s">
        <v>2282</v>
      </c>
    </row>
    <row r="380" spans="1:9" x14ac:dyDescent="0.2">
      <c r="A380" s="43" t="s">
        <v>2271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2277</v>
      </c>
    </row>
    <row r="381" spans="1:9" x14ac:dyDescent="0.2">
      <c r="A381" s="43" t="s">
        <v>2272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2278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2279</v>
      </c>
    </row>
    <row r="383" spans="1:9" ht="16" thickBot="1" x14ac:dyDescent="0.25">
      <c r="D383" s="284">
        <f>-E384</f>
        <v>58860.000000000007</v>
      </c>
      <c r="E383" s="305">
        <f>-F384</f>
        <v>54000</v>
      </c>
      <c r="F383" s="50">
        <v>50000</v>
      </c>
      <c r="G383" s="43" t="s">
        <v>93</v>
      </c>
      <c r="I383" s="43" t="s">
        <v>2280</v>
      </c>
    </row>
    <row r="384" spans="1:9" ht="16" thickBot="1" x14ac:dyDescent="0.25">
      <c r="A384" s="44" t="s">
        <v>2273</v>
      </c>
      <c r="C384" s="50"/>
      <c r="D384" s="52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2281</v>
      </c>
    </row>
    <row r="385" spans="1:8" x14ac:dyDescent="0.2">
      <c r="A385" s="44" t="s">
        <v>2274</v>
      </c>
      <c r="C385" s="47"/>
      <c r="D385" s="691" t="s">
        <v>2269</v>
      </c>
      <c r="E385" s="691"/>
      <c r="F385" s="691"/>
      <c r="G385" s="43" t="s">
        <v>95</v>
      </c>
    </row>
    <row r="386" spans="1:8" x14ac:dyDescent="0.2">
      <c r="A386" s="44" t="s">
        <v>2275</v>
      </c>
    </row>
    <row r="387" spans="1:8" x14ac:dyDescent="0.2">
      <c r="A387" s="44" t="s">
        <v>2276</v>
      </c>
      <c r="C387" s="47"/>
    </row>
    <row r="388" spans="1:8" x14ac:dyDescent="0.2">
      <c r="C388" s="47"/>
    </row>
    <row r="389" spans="1:8" x14ac:dyDescent="0.2">
      <c r="A389" s="302" t="s">
        <v>156</v>
      </c>
      <c r="B389" s="302"/>
      <c r="C389" s="302"/>
      <c r="D389" s="302"/>
      <c r="E389" s="302"/>
      <c r="F389" s="302" t="s">
        <v>142</v>
      </c>
      <c r="G389" s="302"/>
      <c r="H389" s="302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2267</v>
      </c>
      <c r="G406" s="49" t="s">
        <v>2266</v>
      </c>
    </row>
    <row r="407" spans="1:8" x14ac:dyDescent="0.2">
      <c r="A407" s="43" t="s">
        <v>2284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2285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2283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284">
        <f>-E411</f>
        <v>-170864.19056063873</v>
      </c>
      <c r="E410" s="306">
        <f>-F411</f>
        <v>-134725.2482083473</v>
      </c>
      <c r="F410" s="305">
        <f>-G411</f>
        <v>-112682.50301319698</v>
      </c>
      <c r="G410" s="50">
        <v>-100000</v>
      </c>
      <c r="H410" s="43" t="s">
        <v>93</v>
      </c>
    </row>
    <row r="411" spans="1:8" x14ac:dyDescent="0.2">
      <c r="D411" s="445">
        <f>FV(D407,D408,D409,D410)</f>
        <v>181402.71996041748</v>
      </c>
      <c r="E411" s="261">
        <f>FV(E407,E408,E409,E410)</f>
        <v>170864.19056063873</v>
      </c>
      <c r="F411" s="261">
        <f>FV(F407,F408,F409,F410)</f>
        <v>134725.2482083473</v>
      </c>
      <c r="G411" s="261">
        <f>FV(G407,G408,G409,G410)</f>
        <v>112682.50301319698</v>
      </c>
      <c r="H411" s="43" t="s">
        <v>30</v>
      </c>
    </row>
    <row r="412" spans="1:8" x14ac:dyDescent="0.2">
      <c r="D412" s="691" t="s">
        <v>2286</v>
      </c>
      <c r="E412" s="691"/>
      <c r="F412" s="691"/>
      <c r="G412" s="691"/>
      <c r="H412" s="43" t="s">
        <v>95</v>
      </c>
    </row>
    <row r="414" spans="1:8" x14ac:dyDescent="0.2">
      <c r="A414" s="158" t="s">
        <v>2287</v>
      </c>
      <c r="B414" s="302"/>
      <c r="C414" s="302"/>
      <c r="D414" s="302"/>
      <c r="E414" s="302"/>
      <c r="F414" s="302"/>
      <c r="G414" s="302"/>
      <c r="H414" s="302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2289</v>
      </c>
    </row>
    <row r="421" spans="1:5" ht="16" thickBot="1" x14ac:dyDescent="0.25">
      <c r="A421" s="43" t="s">
        <v>170</v>
      </c>
    </row>
    <row r="422" spans="1:5" ht="16" thickBot="1" x14ac:dyDescent="0.25">
      <c r="D422" s="307">
        <f>RATE(D423,D424,D425,D426,,)</f>
        <v>8.0082298255286011E-2</v>
      </c>
      <c r="E422" s="43" t="s">
        <v>87</v>
      </c>
    </row>
    <row r="423" spans="1:5" x14ac:dyDescent="0.2">
      <c r="A423" s="43" t="s">
        <v>2288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2290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6" t="s">
        <v>2294</v>
      </c>
      <c r="B434" s="237"/>
      <c r="C434" s="237"/>
      <c r="D434" s="237"/>
      <c r="E434" s="237"/>
      <c r="F434" s="237"/>
      <c r="G434" s="237"/>
      <c r="H434" s="238"/>
    </row>
    <row r="435" spans="1:8" x14ac:dyDescent="0.2">
      <c r="A435" s="239" t="s">
        <v>2291</v>
      </c>
      <c r="B435" s="79"/>
      <c r="C435" s="79"/>
      <c r="D435" s="79"/>
      <c r="E435" s="79"/>
      <c r="F435" s="79"/>
      <c r="G435" s="79"/>
      <c r="H435" s="240"/>
    </row>
    <row r="436" spans="1:8" x14ac:dyDescent="0.2">
      <c r="A436" s="239" t="s">
        <v>2292</v>
      </c>
      <c r="B436" s="79"/>
      <c r="C436" s="79"/>
      <c r="D436" s="79"/>
      <c r="E436" s="79"/>
      <c r="F436" s="79"/>
      <c r="G436" s="79"/>
      <c r="H436" s="240"/>
    </row>
    <row r="437" spans="1:8" ht="16" thickBot="1" x14ac:dyDescent="0.25">
      <c r="A437" s="241" t="s">
        <v>2293</v>
      </c>
      <c r="B437" s="242"/>
      <c r="C437" s="242"/>
      <c r="D437" s="242"/>
      <c r="E437" s="242"/>
      <c r="F437" s="242"/>
      <c r="G437" s="242"/>
      <c r="H437" s="243"/>
    </row>
    <row r="441" spans="1:8" x14ac:dyDescent="0.2">
      <c r="A441" s="302" t="s">
        <v>175</v>
      </c>
      <c r="B441" s="302"/>
      <c r="C441" s="302"/>
      <c r="D441" s="302"/>
      <c r="E441" s="302"/>
      <c r="F441" s="302"/>
      <c r="G441" s="302"/>
      <c r="H441" s="302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2298</v>
      </c>
      <c r="F461" s="43" t="s">
        <v>2295</v>
      </c>
    </row>
    <row r="462" spans="1:6" x14ac:dyDescent="0.2">
      <c r="D462" s="43" t="s">
        <v>2299</v>
      </c>
      <c r="F462" s="43" t="s">
        <v>2296</v>
      </c>
    </row>
    <row r="463" spans="1:6" x14ac:dyDescent="0.2">
      <c r="D463" s="43" t="s">
        <v>2300</v>
      </c>
      <c r="F463" s="43" t="s">
        <v>2297</v>
      </c>
    </row>
    <row r="464" spans="1:6" x14ac:dyDescent="0.2">
      <c r="D464" s="43" t="s">
        <v>2301</v>
      </c>
    </row>
    <row r="465" spans="1:6" x14ac:dyDescent="0.2">
      <c r="D465" s="43" t="s">
        <v>2297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08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09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02" t="s">
        <v>200</v>
      </c>
      <c r="B483" s="302"/>
      <c r="C483" s="302"/>
      <c r="D483" s="302"/>
      <c r="E483" s="302"/>
      <c r="F483" s="302"/>
      <c r="G483" s="302"/>
      <c r="H483" s="302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2302</v>
      </c>
      <c r="E490" s="47"/>
    </row>
    <row r="491" spans="1:8" x14ac:dyDescent="0.2">
      <c r="A491" s="43" t="s">
        <v>2303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56" customFormat="1" ht="16" thickBot="1" x14ac:dyDescent="0.25">
      <c r="A494" s="256" t="s">
        <v>431</v>
      </c>
      <c r="E494" s="394">
        <v>0.06</v>
      </c>
      <c r="G494" s="256" t="s">
        <v>87</v>
      </c>
    </row>
    <row r="495" spans="1:8" ht="16" thickBot="1" x14ac:dyDescent="0.25">
      <c r="A495" s="43" t="s">
        <v>204</v>
      </c>
      <c r="E495" s="524">
        <f>NPER(E494,E496,E497,E499)</f>
        <v>6.9999970439799384</v>
      </c>
      <c r="G495" s="43" t="s">
        <v>89</v>
      </c>
    </row>
    <row r="496" spans="1:8" s="256" customFormat="1" x14ac:dyDescent="0.2">
      <c r="A496" s="256" t="s">
        <v>2305</v>
      </c>
      <c r="E496" s="29">
        <v>0</v>
      </c>
      <c r="G496" s="256" t="s">
        <v>91</v>
      </c>
    </row>
    <row r="497" spans="1:8" s="256" customFormat="1" x14ac:dyDescent="0.2">
      <c r="A497" s="256" t="s">
        <v>2304</v>
      </c>
      <c r="E497" s="261">
        <v>-3000</v>
      </c>
      <c r="G497" s="256" t="s">
        <v>93</v>
      </c>
    </row>
    <row r="498" spans="1:8" s="256" customFormat="1" x14ac:dyDescent="0.2">
      <c r="A498" s="256" t="s">
        <v>2306</v>
      </c>
      <c r="E498" s="29">
        <v>0</v>
      </c>
      <c r="G498" s="256" t="s">
        <v>95</v>
      </c>
    </row>
    <row r="499" spans="1:8" s="256" customFormat="1" x14ac:dyDescent="0.2">
      <c r="E499" s="29">
        <f>4510.89</f>
        <v>4510.8900000000003</v>
      </c>
      <c r="G499" s="256" t="s">
        <v>205</v>
      </c>
    </row>
    <row r="501" spans="1:8" x14ac:dyDescent="0.2">
      <c r="A501" s="44" t="s">
        <v>2307</v>
      </c>
    </row>
    <row r="505" spans="1:8" x14ac:dyDescent="0.2">
      <c r="A505" s="302" t="s">
        <v>206</v>
      </c>
      <c r="B505" s="302"/>
      <c r="C505" s="302"/>
      <c r="D505" s="302"/>
      <c r="E505" s="302"/>
      <c r="F505" s="302"/>
      <c r="G505" s="302"/>
      <c r="H505" s="302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2320</v>
      </c>
    </row>
    <row r="519" spans="1:6" x14ac:dyDescent="0.2">
      <c r="C519" s="43" t="s">
        <v>728</v>
      </c>
      <c r="D519" s="43" t="s">
        <v>2313</v>
      </c>
      <c r="F519" s="43" t="s">
        <v>2308</v>
      </c>
    </row>
    <row r="520" spans="1:6" x14ac:dyDescent="0.2">
      <c r="C520" s="43" t="s">
        <v>2317</v>
      </c>
      <c r="D520" s="43" t="s">
        <v>2314</v>
      </c>
      <c r="F520" s="43" t="s">
        <v>2309</v>
      </c>
    </row>
    <row r="521" spans="1:6" x14ac:dyDescent="0.2">
      <c r="C521" s="43" t="s">
        <v>2318</v>
      </c>
      <c r="D521" s="43" t="s">
        <v>2315</v>
      </c>
      <c r="F521" s="43" t="s">
        <v>2310</v>
      </c>
    </row>
    <row r="522" spans="1:6" x14ac:dyDescent="0.2">
      <c r="C522" s="43" t="s">
        <v>2319</v>
      </c>
      <c r="D522" s="43" t="s">
        <v>2316</v>
      </c>
      <c r="F522" s="43" t="s">
        <v>2311</v>
      </c>
    </row>
    <row r="523" spans="1:6" x14ac:dyDescent="0.2">
      <c r="F523" s="43" t="s">
        <v>2312</v>
      </c>
    </row>
    <row r="524" spans="1:6" x14ac:dyDescent="0.2">
      <c r="A524" s="43" t="s">
        <v>217</v>
      </c>
    </row>
    <row r="525" spans="1:6" x14ac:dyDescent="0.2">
      <c r="A525" s="43" t="s">
        <v>2321</v>
      </c>
    </row>
    <row r="526" spans="1:6" x14ac:dyDescent="0.2">
      <c r="A526" s="43" t="s">
        <v>2322</v>
      </c>
    </row>
    <row r="528" spans="1:6" x14ac:dyDescent="0.2">
      <c r="C528" s="47" t="s">
        <v>2324</v>
      </c>
      <c r="D528" s="47" t="s">
        <v>115</v>
      </c>
    </row>
    <row r="529" spans="1:7" x14ac:dyDescent="0.2">
      <c r="C529" s="47" t="s">
        <v>2325</v>
      </c>
      <c r="D529" s="47" t="s">
        <v>2323</v>
      </c>
    </row>
    <row r="530" spans="1:7" x14ac:dyDescent="0.2">
      <c r="C530" s="47" t="s">
        <v>2326</v>
      </c>
      <c r="D530" s="47" t="s">
        <v>218</v>
      </c>
    </row>
    <row r="531" spans="1:7" x14ac:dyDescent="0.2">
      <c r="C531" s="49" t="s">
        <v>2327</v>
      </c>
      <c r="D531" s="49">
        <v>8</v>
      </c>
    </row>
    <row r="532" spans="1:7" x14ac:dyDescent="0.2">
      <c r="A532" s="43" t="s">
        <v>2328</v>
      </c>
      <c r="C532" s="525">
        <f>D532</f>
        <v>8.0000000000000002E-3</v>
      </c>
      <c r="D532" s="52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2329</v>
      </c>
      <c r="C534" s="29">
        <v>0</v>
      </c>
      <c r="D534" s="29">
        <v>0</v>
      </c>
      <c r="G534" s="43" t="s">
        <v>91</v>
      </c>
    </row>
    <row r="535" spans="1:7" x14ac:dyDescent="0.2">
      <c r="C535" s="526">
        <f>-D538-3000</f>
        <v>-7263.2838422494606</v>
      </c>
      <c r="D535" s="261">
        <v>-4000</v>
      </c>
      <c r="G535" s="43" t="s">
        <v>93</v>
      </c>
    </row>
    <row r="536" spans="1:7" x14ac:dyDescent="0.2">
      <c r="C536" s="256"/>
      <c r="D536" s="29">
        <v>0</v>
      </c>
      <c r="G536" s="43" t="s">
        <v>95</v>
      </c>
    </row>
    <row r="537" spans="1:7" ht="16" thickBot="1" x14ac:dyDescent="0.25">
      <c r="C537" s="396"/>
      <c r="D537" s="396"/>
    </row>
    <row r="538" spans="1:7" ht="16" thickBot="1" x14ac:dyDescent="0.25">
      <c r="C538" s="527">
        <f>FV(C532,C533,C534,C535,C536)</f>
        <v>7498.512931152588</v>
      </c>
      <c r="D538" s="52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02" t="s">
        <v>224</v>
      </c>
      <c r="B553" s="302"/>
      <c r="C553" s="302"/>
      <c r="D553" s="158" t="s">
        <v>225</v>
      </c>
      <c r="E553" s="302"/>
      <c r="F553" s="302"/>
      <c r="G553" s="302"/>
      <c r="H553" s="302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10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02" t="s">
        <v>231</v>
      </c>
      <c r="B572" s="302"/>
      <c r="C572" s="302"/>
      <c r="D572" s="158" t="s">
        <v>225</v>
      </c>
      <c r="E572" s="302"/>
      <c r="F572" s="302"/>
      <c r="G572" s="302"/>
      <c r="H572" s="302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11">
        <v>1500000</v>
      </c>
      <c r="G592" s="149" t="s">
        <v>240</v>
      </c>
    </row>
    <row r="594" spans="1:8" x14ac:dyDescent="0.2">
      <c r="A594" s="302" t="s">
        <v>241</v>
      </c>
      <c r="B594" s="302"/>
      <c r="C594" s="302"/>
      <c r="D594" s="158" t="s">
        <v>225</v>
      </c>
      <c r="E594" s="302"/>
      <c r="F594" s="302"/>
      <c r="G594" s="302"/>
      <c r="H594" s="302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11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12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11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03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13" t="s">
        <v>273</v>
      </c>
      <c r="B19" s="314"/>
      <c r="C19" s="314"/>
      <c r="D19" s="314"/>
      <c r="E19" s="314"/>
      <c r="F19" s="314"/>
      <c r="G19" s="313"/>
      <c r="H19" s="313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15" t="s">
        <v>276</v>
      </c>
      <c r="B23" s="316"/>
      <c r="C23" s="316"/>
      <c r="D23" s="316"/>
      <c r="E23" s="316"/>
      <c r="F23" s="316"/>
      <c r="G23" s="317"/>
      <c r="H23" s="317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23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24" t="s">
        <v>2802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15" t="s">
        <v>285</v>
      </c>
      <c r="B37" s="318"/>
      <c r="C37" s="318"/>
      <c r="D37" s="318"/>
      <c r="E37" s="318"/>
      <c r="F37" s="318"/>
      <c r="G37" s="315"/>
      <c r="H37" s="315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10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30">
        <f>RATE(B46,B47,B48,B49)</f>
        <v>5.9223841048813515E-2</v>
      </c>
      <c r="C45" s="326" t="s">
        <v>87</v>
      </c>
      <c r="D45" s="4"/>
      <c r="E45" s="330">
        <f>RATE(E46,E47,E48,E49)</f>
        <v>4.8062141804318132E-3</v>
      </c>
      <c r="F45" s="325"/>
      <c r="G45" s="326" t="s">
        <v>87</v>
      </c>
    </row>
    <row r="46" spans="1:8" ht="22" thickBot="1" x14ac:dyDescent="0.3">
      <c r="B46" s="327">
        <v>5</v>
      </c>
      <c r="C46" s="329" t="s">
        <v>89</v>
      </c>
      <c r="D46" s="4"/>
      <c r="E46" s="327">
        <f>5*12</f>
        <v>60</v>
      </c>
      <c r="F46" s="328"/>
      <c r="G46" s="329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31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15" t="s">
        <v>297</v>
      </c>
      <c r="B57" s="318"/>
      <c r="C57" s="318"/>
      <c r="D57" s="318"/>
      <c r="E57" s="318"/>
      <c r="F57" s="318"/>
      <c r="G57" s="315"/>
      <c r="H57" s="315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2330</v>
      </c>
      <c r="B72" s="25"/>
      <c r="C72" s="25"/>
      <c r="D72" s="25"/>
      <c r="E72" s="4"/>
      <c r="F72" s="4"/>
    </row>
    <row r="73" spans="1:8" x14ac:dyDescent="0.25">
      <c r="A73" s="1" t="s">
        <v>2331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2334</v>
      </c>
      <c r="C75" s="4" t="s">
        <v>2332</v>
      </c>
      <c r="D75" s="4"/>
      <c r="E75" s="4"/>
      <c r="F75" s="4"/>
    </row>
    <row r="76" spans="1:8" ht="22" thickBot="1" x14ac:dyDescent="0.3">
      <c r="B76" s="4" t="s">
        <v>2335</v>
      </c>
      <c r="C76" s="4" t="s">
        <v>2333</v>
      </c>
      <c r="D76" s="4"/>
      <c r="E76" s="4"/>
      <c r="F76" s="4"/>
    </row>
    <row r="77" spans="1:8" x14ac:dyDescent="0.25">
      <c r="B77" s="332" t="s">
        <v>308</v>
      </c>
      <c r="C77" s="332" t="s">
        <v>309</v>
      </c>
      <c r="E77" s="335"/>
      <c r="F77" s="325" t="s">
        <v>310</v>
      </c>
      <c r="G77" s="336"/>
      <c r="H77" s="337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38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38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38"/>
    </row>
    <row r="81" spans="2:8" x14ac:dyDescent="0.25">
      <c r="B81" s="376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38"/>
    </row>
    <row r="82" spans="2:8" ht="22" thickBot="1" x14ac:dyDescent="0.3">
      <c r="B82" s="343">
        <f>FV(B78,B79,B80,B81)</f>
        <v>5820.5251151169123</v>
      </c>
      <c r="C82" s="343">
        <f>FV(C78,C79,C80,C81)</f>
        <v>2321.9379107399968</v>
      </c>
      <c r="D82" s="4" t="s">
        <v>105</v>
      </c>
      <c r="E82" s="327"/>
      <c r="F82" s="328" t="s">
        <v>315</v>
      </c>
      <c r="G82" s="339"/>
      <c r="H82" s="340"/>
    </row>
    <row r="83" spans="2:8" ht="22" thickBot="1" x14ac:dyDescent="0.3">
      <c r="B83" s="341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32"/>
      <c r="F89" s="332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11"/>
      <c r="F94" s="612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11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15" t="s">
        <v>318</v>
      </c>
      <c r="B105" s="316"/>
      <c r="C105" s="316"/>
      <c r="D105" s="316"/>
      <c r="E105" s="316"/>
      <c r="F105" s="316"/>
      <c r="G105" s="317"/>
      <c r="H105" s="317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2336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2337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2339</v>
      </c>
      <c r="B116" s="4"/>
      <c r="C116" s="342">
        <v>8.0000000000000002E-3</v>
      </c>
      <c r="D116" s="4" t="s">
        <v>87</v>
      </c>
      <c r="E116" s="7" t="s">
        <v>2338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44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2340</v>
      </c>
      <c r="B124" s="4"/>
      <c r="C124" s="342">
        <f>C116</f>
        <v>8.0000000000000002E-3</v>
      </c>
      <c r="D124" s="4" t="s">
        <v>87</v>
      </c>
      <c r="E124" s="7" t="s">
        <v>2343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2342</v>
      </c>
      <c r="F125" s="4"/>
    </row>
    <row r="126" spans="1:6" x14ac:dyDescent="0.25">
      <c r="B126" s="4"/>
      <c r="C126" s="344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2341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353" t="s">
        <v>333</v>
      </c>
      <c r="B132" s="345"/>
      <c r="C132" s="345"/>
      <c r="D132" s="345"/>
      <c r="E132" s="345"/>
      <c r="F132" s="345"/>
      <c r="G132" s="346"/>
      <c r="H132" s="346"/>
      <c r="I132" s="346"/>
      <c r="J132" s="347"/>
    </row>
    <row r="133" spans="1:10" x14ac:dyDescent="0.25">
      <c r="A133" s="354" t="s">
        <v>334</v>
      </c>
      <c r="B133" s="25"/>
      <c r="C133" s="25"/>
      <c r="D133" s="25"/>
      <c r="E133" s="25"/>
      <c r="F133" s="25"/>
      <c r="G133" s="19"/>
      <c r="H133" s="19"/>
      <c r="I133" s="19"/>
      <c r="J133" s="349"/>
    </row>
    <row r="134" spans="1:10" x14ac:dyDescent="0.25">
      <c r="A134" s="354" t="s">
        <v>335</v>
      </c>
      <c r="B134" s="25"/>
      <c r="C134" s="25"/>
      <c r="D134" s="25"/>
      <c r="E134" s="25"/>
      <c r="F134" s="25"/>
      <c r="G134" s="19"/>
      <c r="H134" s="19"/>
      <c r="I134" s="19"/>
      <c r="J134" s="349"/>
    </row>
    <row r="135" spans="1:10" ht="22" thickBot="1" x14ac:dyDescent="0.3">
      <c r="A135" s="355" t="s">
        <v>336</v>
      </c>
      <c r="B135" s="350"/>
      <c r="C135" s="350"/>
      <c r="D135" s="350"/>
      <c r="E135" s="350"/>
      <c r="F135" s="350"/>
      <c r="G135" s="351"/>
      <c r="H135" s="351"/>
      <c r="I135" s="351"/>
      <c r="J135" s="352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15" t="s">
        <v>337</v>
      </c>
      <c r="B137" s="316"/>
      <c r="C137" s="316"/>
      <c r="D137" s="316"/>
      <c r="E137" s="316"/>
      <c r="F137" s="316"/>
      <c r="G137" s="317"/>
      <c r="H137" s="317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356" t="s">
        <v>340</v>
      </c>
      <c r="B140" s="695" t="s">
        <v>341</v>
      </c>
      <c r="C140" s="695"/>
      <c r="D140" s="4"/>
      <c r="E140" s="4"/>
      <c r="F140" s="4"/>
    </row>
    <row r="141" spans="1:10" x14ac:dyDescent="0.25">
      <c r="A141" s="356" t="s">
        <v>342</v>
      </c>
      <c r="B141" s="357"/>
      <c r="C141" s="357"/>
      <c r="D141" s="4"/>
      <c r="E141" s="4"/>
      <c r="F141" s="4"/>
    </row>
    <row r="142" spans="1:10" x14ac:dyDescent="0.25">
      <c r="A142" s="360" t="s">
        <v>343</v>
      </c>
      <c r="B142" s="361"/>
      <c r="C142" s="361"/>
      <c r="D142" s="361"/>
      <c r="E142" s="361"/>
      <c r="F142" s="361"/>
    </row>
    <row r="143" spans="1:10" x14ac:dyDescent="0.25">
      <c r="A143" s="364" t="s">
        <v>344</v>
      </c>
      <c r="B143" s="365"/>
      <c r="C143" s="365"/>
      <c r="D143" s="365"/>
      <c r="E143" s="365"/>
      <c r="F143" s="365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2344</v>
      </c>
      <c r="B147" s="4"/>
      <c r="C147" s="4"/>
      <c r="D147" s="4"/>
      <c r="E147" s="4"/>
      <c r="F147" s="4"/>
    </row>
    <row r="148" spans="1:6" x14ac:dyDescent="0.25">
      <c r="A148" s="1" t="s">
        <v>2345</v>
      </c>
      <c r="B148" s="4"/>
      <c r="C148" s="4"/>
      <c r="D148" s="4"/>
      <c r="E148" s="4"/>
      <c r="F148" s="4"/>
    </row>
    <row r="149" spans="1:6" x14ac:dyDescent="0.25">
      <c r="A149" s="1" t="s">
        <v>2346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28" t="s">
        <v>2349</v>
      </c>
      <c r="D151" s="528" t="s">
        <v>2348</v>
      </c>
      <c r="E151" s="335" t="s">
        <v>2347</v>
      </c>
      <c r="F151" s="326">
        <v>0</v>
      </c>
    </row>
    <row r="152" spans="1:6" x14ac:dyDescent="0.25">
      <c r="A152" s="1" t="s">
        <v>2379</v>
      </c>
      <c r="B152" s="4"/>
      <c r="C152" s="529"/>
      <c r="D152" s="529"/>
      <c r="E152" s="27"/>
      <c r="F152" s="369"/>
    </row>
    <row r="153" spans="1:6" x14ac:dyDescent="0.25">
      <c r="B153" s="4"/>
      <c r="C153" s="529" t="s">
        <v>2355</v>
      </c>
      <c r="D153" s="529" t="s">
        <v>2353</v>
      </c>
      <c r="E153" s="27" t="s">
        <v>2350</v>
      </c>
      <c r="F153" s="369">
        <v>-10000</v>
      </c>
    </row>
    <row r="154" spans="1:6" x14ac:dyDescent="0.25">
      <c r="B154" s="4"/>
      <c r="C154" s="529" t="s">
        <v>2356</v>
      </c>
      <c r="D154" s="529" t="s">
        <v>2354</v>
      </c>
      <c r="E154" s="27" t="s">
        <v>2351</v>
      </c>
      <c r="F154" s="369"/>
    </row>
    <row r="155" spans="1:6" ht="22" thickBot="1" x14ac:dyDescent="0.3">
      <c r="B155" s="4"/>
      <c r="C155" s="530" t="s">
        <v>2352</v>
      </c>
      <c r="D155" s="530" t="s">
        <v>2352</v>
      </c>
      <c r="E155" s="327" t="s">
        <v>2352</v>
      </c>
      <c r="F155" s="329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365"/>
      <c r="D159" s="361"/>
      <c r="E159" s="357" t="s">
        <v>346</v>
      </c>
      <c r="F159" s="4"/>
    </row>
    <row r="160" spans="1:6" x14ac:dyDescent="0.25">
      <c r="B160" s="4"/>
      <c r="C160" s="365" t="s">
        <v>347</v>
      </c>
      <c r="D160" s="361" t="s">
        <v>348</v>
      </c>
      <c r="E160" s="357" t="s">
        <v>349</v>
      </c>
      <c r="F160" s="4"/>
    </row>
    <row r="161" spans="1:8" x14ac:dyDescent="0.25">
      <c r="B161" s="4"/>
      <c r="C161" s="366" t="s">
        <v>350</v>
      </c>
      <c r="D161" s="362" t="s">
        <v>351</v>
      </c>
      <c r="E161" s="358" t="s">
        <v>352</v>
      </c>
      <c r="F161" s="4"/>
    </row>
    <row r="162" spans="1:8" x14ac:dyDescent="0.25">
      <c r="B162" s="4"/>
      <c r="C162" s="367">
        <v>8.0000000000000002E-3</v>
      </c>
      <c r="D162" s="363">
        <v>8.0000000000000002E-3</v>
      </c>
      <c r="E162" s="359">
        <v>8.0000000000000002E-3</v>
      </c>
      <c r="F162" s="4" t="s">
        <v>87</v>
      </c>
    </row>
    <row r="163" spans="1:8" x14ac:dyDescent="0.25">
      <c r="B163" s="4"/>
      <c r="C163" s="365">
        <v>36</v>
      </c>
      <c r="D163" s="361">
        <f>5*12</f>
        <v>60</v>
      </c>
      <c r="E163" s="357">
        <v>24</v>
      </c>
      <c r="F163" s="4" t="s">
        <v>89</v>
      </c>
    </row>
    <row r="164" spans="1:8" x14ac:dyDescent="0.25">
      <c r="B164" s="4"/>
      <c r="C164" s="365">
        <v>-200</v>
      </c>
      <c r="D164" s="361">
        <v>0</v>
      </c>
      <c r="E164" s="357">
        <v>-1000</v>
      </c>
      <c r="F164" s="4" t="s">
        <v>91</v>
      </c>
    </row>
    <row r="165" spans="1:8" ht="22" thickBot="1" x14ac:dyDescent="0.3">
      <c r="B165" s="4"/>
      <c r="C165" s="368">
        <f>-D166</f>
        <v>-62020.4813617537</v>
      </c>
      <c r="D165" s="343">
        <f>-E166</f>
        <v>-38450.607520009129</v>
      </c>
      <c r="E165" s="357">
        <v>-10000</v>
      </c>
      <c r="F165" s="4" t="s">
        <v>281</v>
      </c>
    </row>
    <row r="166" spans="1:8" ht="27" thickBot="1" x14ac:dyDescent="0.35">
      <c r="B166" s="4"/>
      <c r="C166" s="615">
        <f>FV(C162,C163,C164,C165,C167)</f>
        <v>90931.281681329478</v>
      </c>
      <c r="D166" s="614">
        <f>FV(D162,D163,D164,D165)</f>
        <v>62020.4813617537</v>
      </c>
      <c r="E166" s="343">
        <f>FV(E162,E163,E164,E165,E167)</f>
        <v>38450.607520009129</v>
      </c>
      <c r="F166" s="4" t="s">
        <v>105</v>
      </c>
    </row>
    <row r="167" spans="1:8" ht="66" x14ac:dyDescent="0.25">
      <c r="B167" s="4"/>
      <c r="C167" s="365">
        <v>0</v>
      </c>
      <c r="D167" s="613" t="s">
        <v>2803</v>
      </c>
      <c r="E167" s="357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15" t="s">
        <v>355</v>
      </c>
      <c r="B175" s="316"/>
      <c r="C175" s="316"/>
      <c r="D175" s="316"/>
      <c r="E175" s="316"/>
      <c r="F175" s="316" t="s">
        <v>780</v>
      </c>
      <c r="G175" s="317"/>
      <c r="H175" s="317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371" t="s">
        <v>362</v>
      </c>
      <c r="B186" s="4" t="s">
        <v>363</v>
      </c>
      <c r="C186" s="372" t="s">
        <v>364</v>
      </c>
      <c r="D186" s="4" t="s">
        <v>2804</v>
      </c>
      <c r="E186" s="4" t="s">
        <v>365</v>
      </c>
      <c r="F186" s="4"/>
      <c r="G186" s="372" t="s">
        <v>366</v>
      </c>
      <c r="H186" s="4" t="s">
        <v>367</v>
      </c>
    </row>
    <row r="187" spans="1:10" x14ac:dyDescent="0.25">
      <c r="A187" s="373">
        <v>0.04</v>
      </c>
      <c r="B187" s="326" t="s">
        <v>87</v>
      </c>
      <c r="C187" s="335"/>
      <c r="D187" s="375">
        <v>0.04</v>
      </c>
      <c r="E187" s="375">
        <v>0.04</v>
      </c>
      <c r="F187" s="326" t="s">
        <v>368</v>
      </c>
      <c r="G187" s="335"/>
      <c r="H187" s="375">
        <v>0.04</v>
      </c>
      <c r="I187" s="325" t="s">
        <v>368</v>
      </c>
      <c r="J187" s="337"/>
    </row>
    <row r="188" spans="1:10" x14ac:dyDescent="0.25">
      <c r="A188" s="27">
        <v>5</v>
      </c>
      <c r="B188" s="369" t="s">
        <v>89</v>
      </c>
      <c r="C188" s="27"/>
      <c r="D188" s="4">
        <v>3</v>
      </c>
      <c r="E188" s="4">
        <v>2</v>
      </c>
      <c r="F188" s="369" t="s">
        <v>89</v>
      </c>
      <c r="G188" s="28"/>
      <c r="H188" s="4">
        <v>4</v>
      </c>
      <c r="I188" s="4" t="s">
        <v>89</v>
      </c>
      <c r="J188" s="338"/>
    </row>
    <row r="189" spans="1:10" x14ac:dyDescent="0.25">
      <c r="A189" s="27">
        <v>0</v>
      </c>
      <c r="B189" s="369" t="s">
        <v>91</v>
      </c>
      <c r="C189" s="27"/>
      <c r="D189" s="4">
        <v>0</v>
      </c>
      <c r="E189" s="4">
        <v>0</v>
      </c>
      <c r="F189" s="369" t="s">
        <v>91</v>
      </c>
      <c r="G189" s="28"/>
      <c r="H189" s="4">
        <v>0</v>
      </c>
      <c r="I189" s="4" t="s">
        <v>91</v>
      </c>
      <c r="J189" s="338"/>
    </row>
    <row r="190" spans="1:10" x14ac:dyDescent="0.25">
      <c r="A190" s="27">
        <v>-40000</v>
      </c>
      <c r="B190" s="369" t="s">
        <v>281</v>
      </c>
      <c r="C190" s="27"/>
      <c r="D190" s="377">
        <f>-E191-10000</f>
        <v>-53264.000000000007</v>
      </c>
      <c r="E190" s="4">
        <v>-40000</v>
      </c>
      <c r="F190" s="369" t="s">
        <v>281</v>
      </c>
      <c r="G190" s="28"/>
      <c r="H190" s="4">
        <v>-70000</v>
      </c>
      <c r="I190" s="4" t="s">
        <v>281</v>
      </c>
      <c r="J190" s="338"/>
    </row>
    <row r="191" spans="1:10" x14ac:dyDescent="0.25">
      <c r="A191" s="374">
        <f>FV(A187,A188,A189,A190)</f>
        <v>48666.116096000012</v>
      </c>
      <c r="B191" s="369" t="s">
        <v>105</v>
      </c>
      <c r="C191" s="27"/>
      <c r="D191" s="616">
        <f>FV(D187,D188,D189,D190)</f>
        <v>59914.756096000012</v>
      </c>
      <c r="E191" s="374">
        <f>FV(E187,E188,E189,E190)</f>
        <v>43264.000000000007</v>
      </c>
      <c r="F191" s="369" t="s">
        <v>105</v>
      </c>
      <c r="G191" s="28"/>
      <c r="H191" s="374">
        <f>FV(H187,H188,H189,H190)</f>
        <v>81890.099200000011</v>
      </c>
      <c r="I191" s="4" t="s">
        <v>105</v>
      </c>
      <c r="J191" s="338"/>
    </row>
    <row r="192" spans="1:10" x14ac:dyDescent="0.25">
      <c r="A192" s="348" t="s">
        <v>369</v>
      </c>
      <c r="B192" s="369"/>
      <c r="C192" s="27"/>
      <c r="D192" s="348" t="s">
        <v>369</v>
      </c>
      <c r="E192" s="4"/>
      <c r="F192" s="369"/>
      <c r="G192" s="28"/>
      <c r="H192" s="348" t="s">
        <v>369</v>
      </c>
      <c r="J192" s="338"/>
    </row>
    <row r="193" spans="1:10" x14ac:dyDescent="0.25">
      <c r="A193" s="28" t="s">
        <v>370</v>
      </c>
      <c r="B193" s="369"/>
      <c r="C193" s="27"/>
      <c r="D193" s="1" t="s">
        <v>370</v>
      </c>
      <c r="E193" s="4"/>
      <c r="F193" s="369"/>
      <c r="G193" s="28" t="s">
        <v>370</v>
      </c>
      <c r="J193" s="338"/>
    </row>
    <row r="194" spans="1:10" ht="22" thickBot="1" x14ac:dyDescent="0.3">
      <c r="A194" s="370"/>
      <c r="B194" s="329" t="s">
        <v>371</v>
      </c>
      <c r="C194" s="327"/>
      <c r="D194" s="328"/>
      <c r="E194" s="328" t="s">
        <v>371</v>
      </c>
      <c r="F194" s="329"/>
      <c r="G194" s="370"/>
      <c r="H194" s="339" t="s">
        <v>371</v>
      </c>
      <c r="I194" s="339"/>
      <c r="J194" s="340"/>
    </row>
    <row r="195" spans="1:10" x14ac:dyDescent="0.25">
      <c r="A195" s="1" t="s">
        <v>372</v>
      </c>
      <c r="B195" s="376">
        <f>100000-A191</f>
        <v>51333.883903999988</v>
      </c>
      <c r="C195" s="4"/>
      <c r="D195" s="1" t="s">
        <v>372</v>
      </c>
      <c r="E195" s="376">
        <f>100000-D191</f>
        <v>40085.243903999988</v>
      </c>
      <c r="F195" s="4"/>
      <c r="H195" s="1" t="s">
        <v>372</v>
      </c>
      <c r="I195" s="696">
        <f>100000-H191</f>
        <v>18109.900799999989</v>
      </c>
      <c r="J195" s="696"/>
    </row>
    <row r="196" spans="1:10" x14ac:dyDescent="0.25">
      <c r="B196" s="376"/>
      <c r="C196" s="4"/>
      <c r="E196" s="376"/>
      <c r="F196" s="4"/>
      <c r="I196" s="376"/>
      <c r="J196" s="376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378" t="s">
        <v>377</v>
      </c>
      <c r="B202" s="379"/>
      <c r="C202" s="379"/>
      <c r="D202" s="325"/>
      <c r="E202" s="325"/>
      <c r="F202" s="325"/>
      <c r="G202" s="336"/>
      <c r="H202" s="336"/>
      <c r="I202" s="336"/>
      <c r="J202" s="337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38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38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38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38"/>
    </row>
    <row r="207" spans="1:10" ht="22" thickBot="1" x14ac:dyDescent="0.3">
      <c r="A207" s="370"/>
      <c r="B207" s="380" t="s">
        <v>382</v>
      </c>
      <c r="C207" s="328"/>
      <c r="D207" s="328"/>
      <c r="E207" s="328"/>
      <c r="F207" s="328"/>
      <c r="G207" s="339"/>
      <c r="H207" s="339"/>
      <c r="I207" s="339"/>
      <c r="J207" s="340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15" t="s">
        <v>383</v>
      </c>
      <c r="B214" s="316"/>
      <c r="C214" s="316"/>
      <c r="D214" s="316"/>
      <c r="E214" s="318" t="s">
        <v>384</v>
      </c>
      <c r="F214" s="316"/>
      <c r="G214" s="317"/>
      <c r="H214" s="317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42">
        <f>D220</f>
        <v>4.4999999999999997E-3</v>
      </c>
      <c r="D220" s="342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33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34">
        <f>FV(C220,C221,C223,C222,C225)</f>
        <v>128528.12587348794</v>
      </c>
      <c r="D224" s="333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15" t="s">
        <v>390</v>
      </c>
      <c r="B229" s="316"/>
      <c r="C229" s="316"/>
      <c r="D229" s="316"/>
      <c r="E229" s="318" t="s">
        <v>384</v>
      </c>
      <c r="F229" s="316"/>
      <c r="G229" s="317"/>
      <c r="H229" s="317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42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34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33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15" t="s">
        <v>395</v>
      </c>
      <c r="B245" s="316"/>
      <c r="C245" s="316"/>
      <c r="D245" s="316"/>
      <c r="E245" s="318" t="s">
        <v>384</v>
      </c>
      <c r="F245" s="316"/>
      <c r="G245" s="317"/>
      <c r="H245" s="317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42"/>
      <c r="E257" s="342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33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34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33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15" t="s">
        <v>408</v>
      </c>
      <c r="B271" s="316"/>
      <c r="C271" s="316"/>
      <c r="D271" s="316"/>
      <c r="E271" s="318" t="s">
        <v>384</v>
      </c>
      <c r="F271" s="316"/>
      <c r="G271" s="317"/>
      <c r="H271" s="317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381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33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353" t="s">
        <v>416</v>
      </c>
      <c r="B288" s="382"/>
      <c r="C288" s="382"/>
      <c r="D288" s="382"/>
      <c r="E288" s="382"/>
      <c r="F288" s="382"/>
      <c r="G288" s="383"/>
      <c r="H288" s="384"/>
    </row>
    <row r="289" spans="1:8" x14ac:dyDescent="0.25">
      <c r="A289" s="354" t="s">
        <v>417</v>
      </c>
      <c r="B289" s="385"/>
      <c r="C289" s="385"/>
      <c r="D289" s="385"/>
      <c r="E289" s="385"/>
      <c r="F289" s="385"/>
      <c r="G289" s="324"/>
      <c r="H289" s="386"/>
    </row>
    <row r="290" spans="1:8" x14ac:dyDescent="0.25">
      <c r="A290" s="354" t="s">
        <v>418</v>
      </c>
      <c r="B290" s="385"/>
      <c r="C290" s="385"/>
      <c r="D290" s="385"/>
      <c r="E290" s="385"/>
      <c r="F290" s="385"/>
      <c r="G290" s="324"/>
      <c r="H290" s="386"/>
    </row>
    <row r="291" spans="1:8" x14ac:dyDescent="0.25">
      <c r="A291" s="354" t="s">
        <v>419</v>
      </c>
      <c r="B291" s="385"/>
      <c r="C291" s="385"/>
      <c r="D291" s="385"/>
      <c r="E291" s="385"/>
      <c r="F291" s="385"/>
      <c r="G291" s="324"/>
      <c r="H291" s="386"/>
    </row>
    <row r="292" spans="1:8" ht="22" thickBot="1" x14ac:dyDescent="0.3">
      <c r="A292" s="355" t="s">
        <v>420</v>
      </c>
      <c r="B292" s="387"/>
      <c r="C292" s="387"/>
      <c r="D292" s="387"/>
      <c r="E292" s="387"/>
      <c r="F292" s="387"/>
      <c r="G292" s="388"/>
      <c r="H292" s="389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7" t="s">
        <v>421</v>
      </c>
      <c r="B300" s="697"/>
      <c r="C300" s="697"/>
      <c r="D300" s="697"/>
      <c r="E300" s="697"/>
      <c r="F300" s="697"/>
      <c r="G300" s="697"/>
      <c r="H300" s="697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19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20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21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22" t="s">
        <v>507</v>
      </c>
      <c r="B441" s="322"/>
      <c r="C441" s="322"/>
      <c r="D441" s="322"/>
      <c r="E441" s="322"/>
      <c r="F441" s="322"/>
      <c r="G441" s="322"/>
      <c r="H441" s="322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8">
        <f>FV(B452,D451,0,-B450)</f>
        <v>10616.778118644976</v>
      </c>
      <c r="D452" s="698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92">
        <f>C452+B451</f>
        <v>12616.778118644976</v>
      </c>
      <c r="D456" s="692"/>
      <c r="E456" s="1" t="s">
        <v>281</v>
      </c>
      <c r="G456" s="1" t="s">
        <v>520</v>
      </c>
    </row>
    <row r="457" spans="1:10" x14ac:dyDescent="0.25">
      <c r="C457" s="698">
        <f>FV(B452,D455,0,-C456)</f>
        <v>12806.977625880809</v>
      </c>
      <c r="D457" s="698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92">
        <f>C457</f>
        <v>12806.977625880809</v>
      </c>
      <c r="D461" s="692"/>
      <c r="E461" s="1" t="s">
        <v>281</v>
      </c>
      <c r="G461" s="1" t="s">
        <v>523</v>
      </c>
    </row>
    <row r="462" spans="1:10" x14ac:dyDescent="0.25">
      <c r="C462" s="693">
        <f>FV(B453,D460,0,-C461)</f>
        <v>13275.474904595436</v>
      </c>
      <c r="D462" s="694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390" t="s">
        <v>524</v>
      </c>
      <c r="B464" s="391"/>
      <c r="C464" s="391"/>
      <c r="D464" s="391"/>
      <c r="E464" s="391"/>
      <c r="F464" s="391"/>
      <c r="G464" s="391"/>
      <c r="H464" s="391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392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392">
        <f>FV(C662,C663,C665,C664,C667)</f>
        <v>-89134.741477994161</v>
      </c>
      <c r="D666" s="392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392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392">
        <f>-D710</f>
        <v>-2458027.1252514864</v>
      </c>
      <c r="D708" s="392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393">
        <f>FV(C706,C707,C709,C708,C711)</f>
        <v>8904788.5576484557</v>
      </c>
      <c r="D710" s="392">
        <f>FV(D706,D707,D709,D708,D711)</f>
        <v>2458027.1252514864</v>
      </c>
      <c r="E710" s="392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9" t="s">
        <v>2806</v>
      </c>
      <c r="B1" s="699"/>
      <c r="C1" s="699"/>
      <c r="D1" s="699"/>
      <c r="E1" s="699"/>
      <c r="F1" s="699"/>
      <c r="G1" s="699"/>
      <c r="H1" s="699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2810</v>
      </c>
      <c r="C35" s="394">
        <v>0.05</v>
      </c>
      <c r="D35" s="43" t="s">
        <v>87</v>
      </c>
      <c r="F35" s="43" t="s">
        <v>2807</v>
      </c>
    </row>
    <row r="36" spans="1:8" x14ac:dyDescent="0.2">
      <c r="A36" s="43" t="s">
        <v>2811</v>
      </c>
      <c r="C36" s="29">
        <v>2</v>
      </c>
      <c r="D36" s="43" t="s">
        <v>89</v>
      </c>
      <c r="F36" s="43" t="s">
        <v>2808</v>
      </c>
    </row>
    <row r="37" spans="1:8" x14ac:dyDescent="0.2">
      <c r="A37" s="43" t="s">
        <v>2813</v>
      </c>
      <c r="C37" s="29">
        <v>0</v>
      </c>
      <c r="D37" s="43" t="s">
        <v>91</v>
      </c>
      <c r="F37" s="43" t="s">
        <v>2809</v>
      </c>
    </row>
    <row r="38" spans="1:8" x14ac:dyDescent="0.2">
      <c r="A38" s="43" t="s">
        <v>2814</v>
      </c>
      <c r="C38" s="617">
        <f>PV(C35,C36,C37,C39)</f>
        <v>-907.02947845804988</v>
      </c>
      <c r="D38" s="43" t="s">
        <v>686</v>
      </c>
    </row>
    <row r="39" spans="1:8" x14ac:dyDescent="0.2">
      <c r="A39" s="43" t="s">
        <v>2812</v>
      </c>
      <c r="C39" s="29">
        <v>1000</v>
      </c>
      <c r="D39" s="43" t="s">
        <v>105</v>
      </c>
      <c r="F39" s="44" t="s">
        <v>2815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2816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277" t="s">
        <v>2817</v>
      </c>
      <c r="B60" s="212"/>
      <c r="C60" s="212"/>
      <c r="D60" s="212"/>
      <c r="E60" s="212"/>
      <c r="F60" s="212"/>
      <c r="G60" s="212"/>
      <c r="H60" s="213"/>
    </row>
    <row r="61" spans="1:8" x14ac:dyDescent="0.2">
      <c r="A61" s="276"/>
      <c r="H61" s="215"/>
    </row>
    <row r="62" spans="1:8" x14ac:dyDescent="0.2">
      <c r="A62" s="276"/>
      <c r="E62" s="43" t="s">
        <v>2818</v>
      </c>
      <c r="H62" s="215"/>
    </row>
    <row r="63" spans="1:8" x14ac:dyDescent="0.2">
      <c r="A63" s="276"/>
      <c r="H63" s="215"/>
    </row>
    <row r="64" spans="1:8" ht="16" thickBot="1" x14ac:dyDescent="0.25">
      <c r="A64" s="234" t="s">
        <v>2819</v>
      </c>
      <c r="B64" s="217"/>
      <c r="C64" s="217"/>
      <c r="D64" s="217"/>
      <c r="E64" s="217"/>
      <c r="F64" s="217"/>
      <c r="G64" s="217"/>
      <c r="H64" s="218"/>
    </row>
    <row r="66" spans="1:5" x14ac:dyDescent="0.2">
      <c r="A66" s="43" t="s">
        <v>2820</v>
      </c>
    </row>
    <row r="68" spans="1:5" x14ac:dyDescent="0.2">
      <c r="A68" s="43" t="s">
        <v>2821</v>
      </c>
    </row>
    <row r="70" spans="1:5" x14ac:dyDescent="0.2">
      <c r="B70" s="54">
        <v>0.02</v>
      </c>
      <c r="C70" s="43" t="s">
        <v>87</v>
      </c>
      <c r="D70" s="43" t="s">
        <v>2328</v>
      </c>
    </row>
    <row r="71" spans="1:5" x14ac:dyDescent="0.2">
      <c r="B71" s="47">
        <v>4</v>
      </c>
      <c r="C71" s="43" t="s">
        <v>89</v>
      </c>
      <c r="D71" s="43" t="s">
        <v>2823</v>
      </c>
    </row>
    <row r="72" spans="1:5" x14ac:dyDescent="0.2">
      <c r="B72" s="47">
        <v>0</v>
      </c>
      <c r="C72" s="43" t="s">
        <v>91</v>
      </c>
      <c r="D72" s="43" t="s">
        <v>2824</v>
      </c>
    </row>
    <row r="73" spans="1:5" x14ac:dyDescent="0.2">
      <c r="B73" s="401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2822</v>
      </c>
    </row>
    <row r="75" spans="1:5" x14ac:dyDescent="0.2">
      <c r="B75" s="618" t="s">
        <v>2825</v>
      </c>
      <c r="C75" s="43" t="s">
        <v>95</v>
      </c>
      <c r="D75" s="43" t="s">
        <v>2826</v>
      </c>
    </row>
    <row r="77" spans="1:5" x14ac:dyDescent="0.2">
      <c r="A77" s="43" t="s">
        <v>2827</v>
      </c>
      <c r="E77" s="76"/>
    </row>
    <row r="78" spans="1:5" x14ac:dyDescent="0.2">
      <c r="A78" s="43" t="s">
        <v>2828</v>
      </c>
      <c r="E78" s="76"/>
    </row>
    <row r="80" spans="1:5" x14ac:dyDescent="0.2">
      <c r="A80" s="79" t="s">
        <v>2829</v>
      </c>
    </row>
    <row r="81" spans="1:8" x14ac:dyDescent="0.2">
      <c r="A81" s="256" t="s">
        <v>2830</v>
      </c>
    </row>
    <row r="82" spans="1:8" x14ac:dyDescent="0.2">
      <c r="A82" s="256" t="s">
        <v>2831</v>
      </c>
    </row>
    <row r="83" spans="1:8" x14ac:dyDescent="0.2">
      <c r="A83" s="79"/>
    </row>
    <row r="84" spans="1:8" x14ac:dyDescent="0.2">
      <c r="A84" s="79"/>
      <c r="B84" s="43" t="s">
        <v>2832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2833</v>
      </c>
      <c r="E85" s="76"/>
      <c r="F85" s="55">
        <f>B73</f>
        <v>3695.381704106057</v>
      </c>
      <c r="G85" s="43" t="s">
        <v>2834</v>
      </c>
    </row>
    <row r="86" spans="1:8" x14ac:dyDescent="0.2">
      <c r="A86" s="79"/>
      <c r="E86" s="76"/>
    </row>
    <row r="87" spans="1:8" x14ac:dyDescent="0.2">
      <c r="B87" s="44" t="s">
        <v>2835</v>
      </c>
    </row>
    <row r="88" spans="1:8" ht="16" thickBot="1" x14ac:dyDescent="0.25"/>
    <row r="89" spans="1:8" x14ac:dyDescent="0.2">
      <c r="A89" s="211" t="s">
        <v>2836</v>
      </c>
      <c r="B89" s="212"/>
      <c r="C89" s="212"/>
      <c r="D89" s="212"/>
      <c r="E89" s="212"/>
      <c r="F89" s="212"/>
      <c r="G89" s="212"/>
      <c r="H89" s="213"/>
    </row>
    <row r="90" spans="1:8" x14ac:dyDescent="0.2">
      <c r="A90" s="276" t="s">
        <v>2837</v>
      </c>
      <c r="H90" s="215"/>
    </row>
    <row r="91" spans="1:8" x14ac:dyDescent="0.2">
      <c r="A91" s="276"/>
      <c r="B91" s="43" t="s">
        <v>2838</v>
      </c>
      <c r="H91" s="215"/>
    </row>
    <row r="92" spans="1:8" x14ac:dyDescent="0.2">
      <c r="A92" s="276"/>
      <c r="B92" s="43" t="s">
        <v>2839</v>
      </c>
      <c r="H92" s="215"/>
    </row>
    <row r="93" spans="1:8" x14ac:dyDescent="0.2">
      <c r="A93" s="276"/>
      <c r="B93" s="43" t="s">
        <v>2840</v>
      </c>
      <c r="H93" s="215"/>
    </row>
    <row r="94" spans="1:8" x14ac:dyDescent="0.2">
      <c r="A94" s="276"/>
      <c r="H94" s="215"/>
    </row>
    <row r="95" spans="1:8" x14ac:dyDescent="0.2">
      <c r="A95" s="276" t="s">
        <v>2842</v>
      </c>
      <c r="B95" s="43" t="s">
        <v>2841</v>
      </c>
      <c r="H95" s="215"/>
    </row>
    <row r="96" spans="1:8" x14ac:dyDescent="0.2">
      <c r="A96" s="276"/>
      <c r="H96" s="215"/>
    </row>
    <row r="97" spans="1:8" x14ac:dyDescent="0.2">
      <c r="A97" s="276" t="s">
        <v>2842</v>
      </c>
      <c r="B97" s="43" t="s">
        <v>2843</v>
      </c>
      <c r="H97" s="215"/>
    </row>
    <row r="98" spans="1:8" ht="16" thickBot="1" x14ac:dyDescent="0.25">
      <c r="A98" s="234"/>
      <c r="B98" s="217"/>
      <c r="C98" s="217"/>
      <c r="D98" s="217" t="s">
        <v>2844</v>
      </c>
      <c r="E98" s="217"/>
      <c r="F98" s="217"/>
      <c r="G98" s="217"/>
      <c r="H98" s="218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2845</v>
      </c>
    </row>
    <row r="117" spans="1:10" ht="16" thickBot="1" x14ac:dyDescent="0.25">
      <c r="A117" s="49" t="s">
        <v>714</v>
      </c>
      <c r="B117" s="397" t="s">
        <v>715</v>
      </c>
      <c r="C117" s="49" t="s">
        <v>716</v>
      </c>
      <c r="D117" s="47" t="s">
        <v>717</v>
      </c>
      <c r="H117" s="256" t="s">
        <v>718</v>
      </c>
    </row>
    <row r="118" spans="1:10" x14ac:dyDescent="0.2">
      <c r="A118" s="47">
        <v>1</v>
      </c>
      <c r="B118" s="29">
        <v>2000</v>
      </c>
      <c r="C118" s="394">
        <v>7.0000000000000007E-2</v>
      </c>
      <c r="D118" s="398">
        <f>B118/(1+C118)</f>
        <v>1869.1588785046729</v>
      </c>
      <c r="E118" s="396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394">
        <v>0.09</v>
      </c>
      <c r="D119" s="399">
        <f>B119/((1+C119)*(1+C118))</f>
        <v>3429.6493183571974</v>
      </c>
      <c r="E119" s="396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394">
        <v>0.11</v>
      </c>
      <c r="D120" s="399">
        <f>B120/((1+C120)*(1+C119)*(1+C118))</f>
        <v>3862.2177008526996</v>
      </c>
      <c r="E120" s="396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394">
        <v>0.13</v>
      </c>
      <c r="D121" s="400">
        <f>B121/((1+C121)*(1+C120)*(1+C119)*(1+C118))</f>
        <v>4785.0484789325483</v>
      </c>
      <c r="E121" s="396"/>
      <c r="H121" s="43" t="str">
        <f ca="1">_xlfn.FORMULATEXT(D121)</f>
        <v>=B121/((1+C121)*(1+C120)*(1+C119)*(1+C118))</v>
      </c>
    </row>
    <row r="122" spans="1:10" x14ac:dyDescent="0.2">
      <c r="B122" s="396"/>
      <c r="C122" s="396"/>
      <c r="D122" s="256"/>
      <c r="E122" s="396"/>
    </row>
    <row r="123" spans="1:10" x14ac:dyDescent="0.2">
      <c r="B123" s="256" t="s">
        <v>719</v>
      </c>
      <c r="C123" s="396"/>
      <c r="D123" s="395">
        <f>SUM(D118:D121)</f>
        <v>13946.074376647117</v>
      </c>
      <c r="E123" s="396" t="s">
        <v>720</v>
      </c>
      <c r="I123" s="43" t="s">
        <v>2847</v>
      </c>
      <c r="J123" s="43" t="s">
        <v>2846</v>
      </c>
    </row>
    <row r="125" spans="1:10" x14ac:dyDescent="0.2">
      <c r="A125" s="44" t="s">
        <v>721</v>
      </c>
    </row>
    <row r="126" spans="1:10" x14ac:dyDescent="0.2">
      <c r="A126" s="43" t="s">
        <v>2848</v>
      </c>
    </row>
    <row r="127" spans="1:10" x14ac:dyDescent="0.2">
      <c r="A127" s="43" t="s">
        <v>2849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06">
        <f>PV(B131,B132,B133,B135)</f>
        <v>-13946.074376647119</v>
      </c>
      <c r="C134" s="403">
        <f>PV(C131,C132,C133,C135)</f>
        <v>-12922.299583012418</v>
      </c>
      <c r="D134" s="404">
        <f>PV(D131,D132,D133,D135)</f>
        <v>-10085.306545483536</v>
      </c>
      <c r="E134" s="245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05">
        <f>-C134+B118</f>
        <v>14922.299583012418</v>
      </c>
      <c r="C135" s="402">
        <f>-D134+B119</f>
        <v>14085.306545483536</v>
      </c>
      <c r="D135" s="401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2850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2851</v>
      </c>
    </row>
    <row r="154" spans="1:8" x14ac:dyDescent="0.2">
      <c r="A154" s="81">
        <v>3</v>
      </c>
      <c r="B154" s="81"/>
      <c r="D154" s="43" t="s">
        <v>2852</v>
      </c>
    </row>
    <row r="155" spans="1:8" x14ac:dyDescent="0.2">
      <c r="A155" s="82" t="s">
        <v>736</v>
      </c>
      <c r="B155" s="81">
        <v>40068</v>
      </c>
      <c r="D155" s="43" t="s">
        <v>2853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07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08">
        <v>0</v>
      </c>
    </row>
    <row r="162" spans="1:7" x14ac:dyDescent="0.2">
      <c r="E162" s="47"/>
      <c r="G162" s="409"/>
    </row>
    <row r="163" spans="1:7" ht="16" thickBot="1" x14ac:dyDescent="0.25">
      <c r="C163" s="48">
        <f>B155</f>
        <v>40068</v>
      </c>
      <c r="E163" s="48">
        <v>36000</v>
      </c>
      <c r="G163" s="410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19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2854</v>
      </c>
    </row>
    <row r="170" spans="1:7" x14ac:dyDescent="0.2">
      <c r="C170" s="47">
        <f>-B153</f>
        <v>-36000</v>
      </c>
      <c r="D170" s="43" t="s">
        <v>281</v>
      </c>
      <c r="E170" s="43" t="s">
        <v>2856</v>
      </c>
    </row>
    <row r="171" spans="1:7" x14ac:dyDescent="0.2">
      <c r="C171" s="47">
        <f>B155</f>
        <v>40068</v>
      </c>
      <c r="D171" s="43" t="s">
        <v>105</v>
      </c>
      <c r="E171" s="43" t="s">
        <v>2855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2857</v>
      </c>
      <c r="C183" s="47"/>
    </row>
    <row r="185" spans="1:8" x14ac:dyDescent="0.2">
      <c r="A185" s="45" t="s">
        <v>2858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2859</v>
      </c>
    </row>
    <row r="187" spans="1:8" x14ac:dyDescent="0.2">
      <c r="A187" s="43" t="s">
        <v>2860</v>
      </c>
    </row>
    <row r="188" spans="1:8" x14ac:dyDescent="0.2">
      <c r="A188" s="43" t="s">
        <v>2861</v>
      </c>
    </row>
    <row r="190" spans="1:8" x14ac:dyDescent="0.2">
      <c r="D190" s="47" t="s">
        <v>2866</v>
      </c>
      <c r="E190" s="47" t="s">
        <v>2862</v>
      </c>
    </row>
    <row r="191" spans="1:8" x14ac:dyDescent="0.2">
      <c r="D191" s="47" t="s">
        <v>2867</v>
      </c>
      <c r="E191" s="47" t="s">
        <v>2863</v>
      </c>
    </row>
    <row r="192" spans="1:8" x14ac:dyDescent="0.2">
      <c r="D192" s="47" t="s">
        <v>2868</v>
      </c>
      <c r="E192" s="47" t="s">
        <v>2864</v>
      </c>
    </row>
    <row r="193" spans="1:8" x14ac:dyDescent="0.2">
      <c r="D193" s="49" t="s">
        <v>2869</v>
      </c>
      <c r="E193" s="49" t="s">
        <v>2865</v>
      </c>
    </row>
    <row r="194" spans="1:8" x14ac:dyDescent="0.2">
      <c r="D194" s="620">
        <f>E194</f>
        <v>8.4109719968686047E-2</v>
      </c>
      <c r="E194" s="620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2870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2871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2805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11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11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47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08" t="s">
        <v>2872</v>
      </c>
      <c r="B1" s="708"/>
      <c r="C1" s="708"/>
      <c r="D1" s="708"/>
      <c r="E1" s="708"/>
      <c r="F1" s="708"/>
      <c r="G1" s="708"/>
      <c r="H1" s="708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2357</v>
      </c>
      <c r="D7" s="94"/>
      <c r="E7" s="94"/>
      <c r="F7" s="94"/>
      <c r="G7" s="94"/>
      <c r="H7" s="94" t="s">
        <v>2358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14">
        <v>0.05</v>
      </c>
      <c r="E19" s="92" t="s">
        <v>87</v>
      </c>
    </row>
    <row r="20" spans="1:7" s="92" customFormat="1" ht="16" x14ac:dyDescent="0.2">
      <c r="A20" s="92" t="s">
        <v>803</v>
      </c>
      <c r="D20" s="415">
        <v>3</v>
      </c>
      <c r="E20" s="92" t="s">
        <v>89</v>
      </c>
    </row>
    <row r="21" spans="1:7" s="92" customFormat="1" ht="16" x14ac:dyDescent="0.2">
      <c r="A21" s="92" t="s">
        <v>804</v>
      </c>
      <c r="D21" s="415">
        <v>100</v>
      </c>
      <c r="E21" s="92" t="s">
        <v>91</v>
      </c>
    </row>
    <row r="22" spans="1:7" s="92" customFormat="1" ht="16" x14ac:dyDescent="0.2">
      <c r="A22" s="92" t="s">
        <v>2359</v>
      </c>
      <c r="D22" s="532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15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2360</v>
      </c>
    </row>
    <row r="25" spans="1:7" s="92" customFormat="1" ht="16" x14ac:dyDescent="0.2">
      <c r="D25" s="105"/>
    </row>
    <row r="26" spans="1:7" s="92" customFormat="1" ht="16" x14ac:dyDescent="0.2">
      <c r="A26" s="92" t="s">
        <v>2361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269"/>
      <c r="C28" s="269"/>
      <c r="D28" s="414">
        <v>0.05</v>
      </c>
      <c r="E28" s="92" t="s">
        <v>87</v>
      </c>
    </row>
    <row r="29" spans="1:7" s="92" customFormat="1" ht="16" x14ac:dyDescent="0.2">
      <c r="B29" s="269"/>
      <c r="C29" s="269"/>
      <c r="D29" s="415">
        <v>3</v>
      </c>
      <c r="E29" s="92" t="s">
        <v>89</v>
      </c>
      <c r="G29" s="92" t="s">
        <v>2874</v>
      </c>
    </row>
    <row r="30" spans="1:7" s="92" customFormat="1" ht="16" x14ac:dyDescent="0.2">
      <c r="D30" s="105">
        <v>100</v>
      </c>
      <c r="E30" s="92" t="s">
        <v>91</v>
      </c>
      <c r="G30" s="92" t="s">
        <v>2875</v>
      </c>
    </row>
    <row r="31" spans="1:7" s="92" customFormat="1" ht="16" x14ac:dyDescent="0.2">
      <c r="D31" s="532">
        <f>PV(D28,D29,D30,D32,D33)</f>
        <v>-285.94104308390041</v>
      </c>
      <c r="E31" s="92" t="s">
        <v>281</v>
      </c>
      <c r="G31" s="92" t="s">
        <v>2876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33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2362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2363</v>
      </c>
      <c r="B41" s="534"/>
      <c r="C41" s="534"/>
      <c r="D41" s="534"/>
      <c r="E41" s="534"/>
      <c r="F41" s="535"/>
    </row>
    <row r="42" spans="1:8" s="92" customFormat="1" ht="17" thickBot="1" x14ac:dyDescent="0.25">
      <c r="A42" s="450" t="s">
        <v>812</v>
      </c>
      <c r="B42" s="536"/>
      <c r="C42" s="536"/>
      <c r="D42" s="536"/>
      <c r="E42" s="536"/>
      <c r="F42" s="537"/>
    </row>
    <row r="43" spans="1:8" s="92" customFormat="1" ht="16" x14ac:dyDescent="0.2"/>
    <row r="44" spans="1:8" s="92" customFormat="1" ht="16" x14ac:dyDescent="0.2">
      <c r="A44" s="92" t="s">
        <v>2364</v>
      </c>
      <c r="D44" s="419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15">
        <f>20*12</f>
        <v>240</v>
      </c>
      <c r="E45" s="92" t="s">
        <v>89</v>
      </c>
    </row>
    <row r="46" spans="1:8" s="92" customFormat="1" ht="16" x14ac:dyDescent="0.2">
      <c r="A46" s="92" t="s">
        <v>2877</v>
      </c>
      <c r="D46" s="415">
        <v>-3500</v>
      </c>
      <c r="E46" s="269" t="s">
        <v>91</v>
      </c>
    </row>
    <row r="47" spans="1:8" s="92" customFormat="1" ht="16" x14ac:dyDescent="0.2">
      <c r="A47" s="92" t="s">
        <v>814</v>
      </c>
      <c r="D47" s="532">
        <f>PV(D44,D45,D46,D48,D49)</f>
        <v>488532.70089024433</v>
      </c>
      <c r="E47" s="92" t="s">
        <v>281</v>
      </c>
    </row>
    <row r="48" spans="1:8" s="92" customFormat="1" ht="16" x14ac:dyDescent="0.2">
      <c r="A48" s="269" t="s">
        <v>2878</v>
      </c>
      <c r="B48" s="269"/>
      <c r="C48" s="269"/>
      <c r="D48" s="415">
        <v>0</v>
      </c>
      <c r="E48" s="92" t="s">
        <v>105</v>
      </c>
    </row>
    <row r="49" spans="1:8" s="92" customFormat="1" ht="16" x14ac:dyDescent="0.2">
      <c r="A49" s="269" t="s">
        <v>2879</v>
      </c>
      <c r="B49" s="269"/>
      <c r="C49" s="269"/>
      <c r="D49" s="415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2365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2366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12">
        <v>0</v>
      </c>
      <c r="C71" s="700" t="s">
        <v>831</v>
      </c>
      <c r="E71" s="92" t="s">
        <v>832</v>
      </c>
    </row>
    <row r="72" spans="1:8" s="92" customFormat="1" ht="16" x14ac:dyDescent="0.2">
      <c r="A72" s="105" t="s">
        <v>566</v>
      </c>
      <c r="B72" s="412">
        <v>0</v>
      </c>
      <c r="C72" s="701"/>
      <c r="E72" s="92" t="s">
        <v>833</v>
      </c>
    </row>
    <row r="73" spans="1:8" s="92" customFormat="1" ht="16" x14ac:dyDescent="0.2">
      <c r="A73" s="105" t="s">
        <v>566</v>
      </c>
      <c r="B73" s="412">
        <v>0</v>
      </c>
      <c r="C73" s="701"/>
      <c r="E73" s="92" t="s">
        <v>834</v>
      </c>
    </row>
    <row r="74" spans="1:8" s="92" customFormat="1" ht="17" thickBot="1" x14ac:dyDescent="0.25">
      <c r="A74" s="105">
        <v>7</v>
      </c>
      <c r="B74" s="412">
        <v>0</v>
      </c>
      <c r="C74" s="702"/>
    </row>
    <row r="75" spans="1:8" s="92" customFormat="1" ht="17" thickBot="1" x14ac:dyDescent="0.25">
      <c r="A75" s="105">
        <v>8</v>
      </c>
      <c r="B75" s="417">
        <v>200000</v>
      </c>
      <c r="C75" s="703" t="s">
        <v>835</v>
      </c>
      <c r="E75" s="92" t="s">
        <v>836</v>
      </c>
    </row>
    <row r="76" spans="1:8" s="92" customFormat="1" ht="16" x14ac:dyDescent="0.2">
      <c r="A76" s="105">
        <v>9</v>
      </c>
      <c r="B76" s="413">
        <v>200000</v>
      </c>
      <c r="C76" s="704"/>
      <c r="E76" s="92" t="s">
        <v>837</v>
      </c>
    </row>
    <row r="77" spans="1:8" s="92" customFormat="1" ht="16" x14ac:dyDescent="0.2">
      <c r="A77" s="105" t="s">
        <v>566</v>
      </c>
      <c r="B77" s="413">
        <v>200000</v>
      </c>
      <c r="C77" s="704"/>
      <c r="E77" s="92" t="s">
        <v>838</v>
      </c>
    </row>
    <row r="78" spans="1:8" s="92" customFormat="1" ht="17" thickBot="1" x14ac:dyDescent="0.25">
      <c r="A78" s="105" t="s">
        <v>566</v>
      </c>
      <c r="B78" s="413">
        <v>200000</v>
      </c>
      <c r="C78" s="704"/>
    </row>
    <row r="79" spans="1:8" s="92" customFormat="1" ht="17" thickBot="1" x14ac:dyDescent="0.25">
      <c r="A79" s="105">
        <v>37</v>
      </c>
      <c r="B79" s="413">
        <v>200000</v>
      </c>
      <c r="C79" s="705"/>
      <c r="E79" s="95" t="s">
        <v>839</v>
      </c>
      <c r="F79" s="534"/>
      <c r="G79" s="534"/>
      <c r="H79" s="535"/>
    </row>
    <row r="80" spans="1:8" s="92" customFormat="1" ht="17" thickBot="1" x14ac:dyDescent="0.25">
      <c r="E80" s="450" t="s">
        <v>840</v>
      </c>
      <c r="F80" s="536"/>
      <c r="G80" s="536"/>
      <c r="H80" s="537"/>
    </row>
    <row r="81" spans="1:8" s="92" customFormat="1" ht="16" x14ac:dyDescent="0.2">
      <c r="B81" s="539" t="s">
        <v>771</v>
      </c>
      <c r="C81" s="142" t="s">
        <v>772</v>
      </c>
    </row>
    <row r="82" spans="1:8" s="92" customFormat="1" ht="16" x14ac:dyDescent="0.2">
      <c r="B82" s="539" t="s">
        <v>841</v>
      </c>
      <c r="C82" s="142" t="s">
        <v>841</v>
      </c>
      <c r="F82" s="92" t="s">
        <v>842</v>
      </c>
    </row>
    <row r="83" spans="1:8" s="92" customFormat="1" ht="16" x14ac:dyDescent="0.2">
      <c r="B83" s="540" t="s">
        <v>843</v>
      </c>
      <c r="C83" s="538" t="s">
        <v>844</v>
      </c>
      <c r="F83" s="92" t="s">
        <v>845</v>
      </c>
    </row>
    <row r="84" spans="1:8" s="92" customFormat="1" ht="16" x14ac:dyDescent="0.2">
      <c r="B84" s="414">
        <v>0.05</v>
      </c>
      <c r="C84" s="414">
        <v>0.05</v>
      </c>
      <c r="D84" s="92" t="s">
        <v>87</v>
      </c>
      <c r="F84" s="92" t="s">
        <v>846</v>
      </c>
    </row>
    <row r="85" spans="1:8" s="92" customFormat="1" ht="16" x14ac:dyDescent="0.2">
      <c r="B85" s="415">
        <v>7</v>
      </c>
      <c r="C85" s="415">
        <v>30</v>
      </c>
      <c r="D85" s="92" t="s">
        <v>89</v>
      </c>
      <c r="F85" s="92" t="s">
        <v>847</v>
      </c>
    </row>
    <row r="86" spans="1:8" s="92" customFormat="1" ht="16" x14ac:dyDescent="0.2">
      <c r="B86" s="416">
        <v>0</v>
      </c>
      <c r="C86" s="416">
        <v>200000</v>
      </c>
      <c r="D86" s="92" t="s">
        <v>91</v>
      </c>
      <c r="F86" s="92" t="s">
        <v>848</v>
      </c>
    </row>
    <row r="87" spans="1:8" s="92" customFormat="1" ht="16" x14ac:dyDescent="0.2">
      <c r="B87" s="420">
        <f>PV(B84,B85,B86,B88,B89)</f>
        <v>-2184982.788629049</v>
      </c>
      <c r="C87" s="413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13">
        <f>-C87</f>
        <v>3074490.2053765673</v>
      </c>
      <c r="C88" s="415">
        <v>0</v>
      </c>
      <c r="D88" s="92" t="s">
        <v>105</v>
      </c>
      <c r="F88" s="92" t="s">
        <v>850</v>
      </c>
    </row>
    <row r="89" spans="1:8" s="92" customFormat="1" ht="16" x14ac:dyDescent="0.2">
      <c r="B89" s="415">
        <v>0</v>
      </c>
      <c r="C89" s="415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42" t="s">
        <v>771</v>
      </c>
      <c r="E108" s="538" t="s">
        <v>772</v>
      </c>
      <c r="H108" s="92" t="s">
        <v>869</v>
      </c>
    </row>
    <row r="109" spans="1:8" s="92" customFormat="1" ht="16" x14ac:dyDescent="0.2">
      <c r="A109" s="105">
        <v>24</v>
      </c>
      <c r="B109" s="413">
        <v>50000</v>
      </c>
      <c r="C109" s="541" t="s">
        <v>2367</v>
      </c>
      <c r="D109" s="419">
        <v>7.0000000000000001E-3</v>
      </c>
      <c r="E109" s="419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41" t="s">
        <v>2368</v>
      </c>
      <c r="D110" s="415">
        <v>23</v>
      </c>
      <c r="E110" s="415">
        <f>12*12</f>
        <v>144</v>
      </c>
      <c r="F110" s="92" t="s">
        <v>89</v>
      </c>
      <c r="H110" s="421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41" t="s">
        <v>2369</v>
      </c>
      <c r="D111" s="416">
        <v>0</v>
      </c>
      <c r="E111" s="416">
        <v>50000</v>
      </c>
      <c r="F111" s="92" t="s">
        <v>91</v>
      </c>
    </row>
    <row r="112" spans="1:8" s="92" customFormat="1" ht="16" x14ac:dyDescent="0.2">
      <c r="A112" s="418">
        <v>167</v>
      </c>
      <c r="B112" s="113">
        <f>B111</f>
        <v>50000</v>
      </c>
      <c r="C112" s="541" t="s">
        <v>2370</v>
      </c>
      <c r="D112" s="420">
        <f>PV(D109,D110,D111,D113,)</f>
        <v>-3855888.5862081484</v>
      </c>
      <c r="E112" s="413">
        <f>PV(E109,E110,E111,E113,)</f>
        <v>-4526914.5772060025</v>
      </c>
      <c r="F112" s="92" t="s">
        <v>281</v>
      </c>
    </row>
    <row r="113" spans="1:11" s="92" customFormat="1" ht="16" x14ac:dyDescent="0.2">
      <c r="A113" s="418"/>
      <c r="B113" s="418"/>
      <c r="D113" s="413">
        <f>-E112</f>
        <v>4526914.5772060025</v>
      </c>
      <c r="E113" s="415">
        <v>0</v>
      </c>
      <c r="F113" s="92" t="s">
        <v>105</v>
      </c>
    </row>
    <row r="114" spans="1:11" s="92" customFormat="1" ht="16" x14ac:dyDescent="0.2">
      <c r="D114" s="415">
        <v>0</v>
      </c>
      <c r="E114" s="415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2873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2371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2885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2880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2886</v>
      </c>
      <c r="E128" s="709" t="s">
        <v>902</v>
      </c>
      <c r="F128" s="709"/>
      <c r="G128" s="105"/>
      <c r="I128" s="105"/>
      <c r="J128" s="105"/>
      <c r="K128" s="105"/>
    </row>
    <row r="129" spans="1:11" s="92" customFormat="1" ht="16" x14ac:dyDescent="0.2">
      <c r="D129" s="92" t="s">
        <v>2887</v>
      </c>
      <c r="E129" s="105"/>
      <c r="F129" s="105" t="s">
        <v>2881</v>
      </c>
      <c r="G129" s="105"/>
      <c r="I129" s="105"/>
      <c r="J129" s="105"/>
      <c r="K129" s="105"/>
    </row>
    <row r="130" spans="1:11" s="92" customFormat="1" ht="16" x14ac:dyDescent="0.2">
      <c r="D130" s="92" t="s">
        <v>2888</v>
      </c>
      <c r="E130" s="105"/>
      <c r="F130" s="105" t="s">
        <v>2882</v>
      </c>
      <c r="G130" s="105"/>
      <c r="I130" s="105"/>
      <c r="J130" s="105"/>
      <c r="K130" s="105"/>
    </row>
    <row r="131" spans="1:11" s="92" customFormat="1" ht="16" x14ac:dyDescent="0.2">
      <c r="D131" s="92" t="s">
        <v>2883</v>
      </c>
      <c r="E131" s="108"/>
      <c r="F131" s="105" t="s">
        <v>2883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2884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2889</v>
      </c>
      <c r="G135" s="105"/>
      <c r="I135" s="105"/>
      <c r="J135" s="105"/>
      <c r="K135" s="105"/>
    </row>
    <row r="136" spans="1:11" s="92" customFormat="1" ht="16" x14ac:dyDescent="0.2">
      <c r="A136" s="92" t="s">
        <v>2890</v>
      </c>
      <c r="G136" s="105"/>
      <c r="I136" s="105"/>
      <c r="J136" s="105"/>
      <c r="K136" s="105"/>
    </row>
    <row r="137" spans="1:11" s="92" customFormat="1" ht="16" x14ac:dyDescent="0.2">
      <c r="A137" s="92" t="s">
        <v>2891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21">
        <f>PV(D139,D140,D141,D143,D144)</f>
        <v>-5967.142500996717</v>
      </c>
      <c r="E142" s="92" t="s">
        <v>281</v>
      </c>
      <c r="F142" s="92" t="s">
        <v>2894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2892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2893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2895</v>
      </c>
      <c r="G146" s="105"/>
      <c r="I146" s="621">
        <f>-D142</f>
        <v>5967.142500996717</v>
      </c>
      <c r="J146" s="105"/>
      <c r="K146" s="105"/>
    </row>
    <row r="147" spans="1:11" s="92" customFormat="1" ht="16" x14ac:dyDescent="0.2">
      <c r="F147" s="92" t="s">
        <v>2896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2897</v>
      </c>
      <c r="G148" s="105"/>
      <c r="I148" s="621">
        <f>I146+I147</f>
        <v>10967.142500996717</v>
      </c>
      <c r="J148" s="105"/>
      <c r="K148" s="105"/>
    </row>
    <row r="149" spans="1:11" s="92" customFormat="1" ht="16" x14ac:dyDescent="0.2">
      <c r="E149" s="709"/>
      <c r="F149" s="709"/>
      <c r="I149" s="105"/>
      <c r="J149" s="105"/>
      <c r="K149" s="105"/>
    </row>
    <row r="150" spans="1:11" s="92" customFormat="1" ht="16" x14ac:dyDescent="0.2">
      <c r="A150" s="92" t="s">
        <v>2898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2899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2900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2901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2905</v>
      </c>
      <c r="I154" s="105"/>
      <c r="J154" s="105"/>
      <c r="K154" s="105"/>
    </row>
    <row r="155" spans="1:11" s="92" customFormat="1" ht="16" x14ac:dyDescent="0.2">
      <c r="D155" s="621">
        <v>0</v>
      </c>
      <c r="E155" s="92" t="s">
        <v>281</v>
      </c>
      <c r="F155" s="141" t="s">
        <v>2902</v>
      </c>
      <c r="I155" s="105"/>
      <c r="J155" s="105"/>
      <c r="K155" s="105"/>
    </row>
    <row r="156" spans="1:11" s="92" customFormat="1" ht="16" x14ac:dyDescent="0.2">
      <c r="D156" s="621">
        <f>I148</f>
        <v>10967.142500996717</v>
      </c>
      <c r="E156" s="92" t="s">
        <v>105</v>
      </c>
      <c r="F156" s="141" t="s">
        <v>2903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2904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2906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22" t="s">
        <v>2907</v>
      </c>
      <c r="B161" s="622"/>
      <c r="C161" s="622"/>
      <c r="D161" s="622"/>
      <c r="E161" s="623"/>
      <c r="F161" s="623"/>
      <c r="G161" s="622"/>
      <c r="H161" s="622"/>
      <c r="I161" s="105"/>
      <c r="J161" s="105"/>
      <c r="K161" s="105"/>
    </row>
    <row r="162" spans="1:11" s="92" customFormat="1" ht="16" x14ac:dyDescent="0.2">
      <c r="A162" s="92" t="s">
        <v>2908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2909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2910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2911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29"/>
      <c r="F167" s="429" t="s">
        <v>2912</v>
      </c>
      <c r="G167" s="97"/>
      <c r="I167" s="105"/>
      <c r="J167" s="105"/>
      <c r="K167" s="105"/>
    </row>
    <row r="168" spans="1:11" s="92" customFormat="1" ht="16" x14ac:dyDescent="0.2">
      <c r="B168" s="98" t="s">
        <v>2920</v>
      </c>
      <c r="E168" s="105"/>
      <c r="F168" s="110" t="s">
        <v>2913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2921</v>
      </c>
      <c r="E170" s="105"/>
      <c r="F170" s="105" t="s">
        <v>2914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2918</v>
      </c>
      <c r="E171" s="105"/>
      <c r="F171" s="105" t="s">
        <v>2915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2919</v>
      </c>
      <c r="E172" s="105"/>
      <c r="F172" s="142" t="s">
        <v>2916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2917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2922</v>
      </c>
      <c r="E174" s="105"/>
      <c r="F174" s="105" t="s">
        <v>2913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2923</v>
      </c>
      <c r="C175" s="101"/>
      <c r="D175" s="101"/>
      <c r="E175" s="430"/>
      <c r="F175" s="430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2926</v>
      </c>
      <c r="E177" s="250" t="s">
        <v>2925</v>
      </c>
      <c r="F177" s="250" t="s">
        <v>2924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2927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2928</v>
      </c>
      <c r="E180" s="582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2929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2930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2931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24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24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24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24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24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27">
        <v>10000</v>
      </c>
      <c r="C200" s="426">
        <v>800</v>
      </c>
      <c r="E200" s="92" t="s">
        <v>904</v>
      </c>
      <c r="F200" s="105">
        <v>0</v>
      </c>
      <c r="G200" s="105"/>
      <c r="H200" s="413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25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22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13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25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22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06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07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07"/>
    </row>
    <row r="232" spans="1:7" s="92" customFormat="1" ht="16" x14ac:dyDescent="0.2">
      <c r="A232" s="105">
        <v>8</v>
      </c>
      <c r="B232" s="105">
        <f>B231</f>
        <v>500</v>
      </c>
      <c r="C232" s="707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24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24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24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24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24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27">
        <v>25000</v>
      </c>
      <c r="C437" s="426">
        <v>0</v>
      </c>
      <c r="F437" s="105">
        <v>0</v>
      </c>
      <c r="G437" s="105"/>
      <c r="H437" s="413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25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23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28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10" t="s">
        <v>2932</v>
      </c>
      <c r="B1" s="710"/>
      <c r="C1" s="710"/>
      <c r="D1" s="710"/>
      <c r="E1" s="710"/>
      <c r="F1" s="710"/>
      <c r="G1" s="710"/>
      <c r="H1" s="710"/>
    </row>
    <row r="3" spans="1:8" x14ac:dyDescent="0.2">
      <c r="A3" s="92" t="s">
        <v>2372</v>
      </c>
    </row>
    <row r="4" spans="1:8" x14ac:dyDescent="0.2">
      <c r="A4" s="92" t="s">
        <v>2373</v>
      </c>
    </row>
    <row r="5" spans="1:8" ht="17" thickBot="1" x14ac:dyDescent="0.25"/>
    <row r="6" spans="1:8" x14ac:dyDescent="0.2">
      <c r="A6" s="95" t="s">
        <v>2374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2375</v>
      </c>
      <c r="H7" s="99"/>
    </row>
    <row r="8" spans="1:8" x14ac:dyDescent="0.2">
      <c r="A8" s="98" t="s">
        <v>2376</v>
      </c>
      <c r="H8" s="99"/>
    </row>
    <row r="9" spans="1:8" x14ac:dyDescent="0.2">
      <c r="A9" s="98" t="s">
        <v>2377</v>
      </c>
      <c r="H9" s="99"/>
    </row>
    <row r="10" spans="1:8" ht="17" thickBot="1" x14ac:dyDescent="0.25">
      <c r="A10" s="100" t="s">
        <v>2378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2381</v>
      </c>
      <c r="D12" s="105">
        <v>13</v>
      </c>
      <c r="E12" s="105" t="s">
        <v>2380</v>
      </c>
      <c r="F12" s="105">
        <v>1</v>
      </c>
      <c r="G12" s="105">
        <v>0</v>
      </c>
    </row>
    <row r="14" spans="1:8" x14ac:dyDescent="0.2">
      <c r="A14" s="92" t="s">
        <v>2379</v>
      </c>
      <c r="G14" s="546" t="s">
        <v>740</v>
      </c>
    </row>
    <row r="24" spans="1:8" x14ac:dyDescent="0.2">
      <c r="A24" s="92" t="s">
        <v>2384</v>
      </c>
      <c r="E24" s="545" t="s">
        <v>2383</v>
      </c>
      <c r="F24" s="544" t="s">
        <v>2382</v>
      </c>
    </row>
    <row r="25" spans="1:8" x14ac:dyDescent="0.2">
      <c r="A25" s="92" t="s">
        <v>2385</v>
      </c>
      <c r="E25" s="625">
        <v>3.0000000000000001E-3</v>
      </c>
      <c r="F25" s="419">
        <v>5.0000000000000001E-3</v>
      </c>
      <c r="G25" s="92" t="s">
        <v>87</v>
      </c>
    </row>
    <row r="26" spans="1:8" x14ac:dyDescent="0.2">
      <c r="E26" s="415">
        <v>12</v>
      </c>
      <c r="F26" s="415">
        <v>24</v>
      </c>
      <c r="G26" s="92" t="s">
        <v>89</v>
      </c>
    </row>
    <row r="27" spans="1:8" ht="17" thickBot="1" x14ac:dyDescent="0.25">
      <c r="E27" s="415">
        <f>F27</f>
        <v>1500</v>
      </c>
      <c r="F27" s="415">
        <v>1500</v>
      </c>
      <c r="G27" s="92" t="s">
        <v>91</v>
      </c>
    </row>
    <row r="28" spans="1:8" ht="17" thickBot="1" x14ac:dyDescent="0.25">
      <c r="E28" s="626">
        <f>PV(E25,E26,E27,E29)</f>
        <v>-50303.193583140579</v>
      </c>
      <c r="F28" s="624">
        <f>PV(F25,F26,F27,F29)</f>
        <v>-33844.299332648581</v>
      </c>
      <c r="G28" s="92" t="s">
        <v>281</v>
      </c>
    </row>
    <row r="29" spans="1:8" x14ac:dyDescent="0.2">
      <c r="E29" s="624">
        <f>-F28</f>
        <v>33844.299332648581</v>
      </c>
      <c r="F29" s="415">
        <v>0</v>
      </c>
      <c r="G29" s="92" t="s">
        <v>105</v>
      </c>
    </row>
    <row r="31" spans="1:8" x14ac:dyDescent="0.2">
      <c r="A31" s="130" t="s">
        <v>2386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2387</v>
      </c>
    </row>
    <row r="33" spans="1:8" x14ac:dyDescent="0.2">
      <c r="A33" s="92" t="s">
        <v>2388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2933</v>
      </c>
      <c r="B81" s="627"/>
      <c r="C81" s="627"/>
      <c r="D81" s="627"/>
      <c r="E81" s="627"/>
      <c r="F81" s="627"/>
      <c r="G81" s="627"/>
      <c r="H81" s="627"/>
    </row>
    <row r="83" spans="1:8" x14ac:dyDescent="0.2">
      <c r="A83" s="92" t="s">
        <v>2934</v>
      </c>
    </row>
    <row r="84" spans="1:8" x14ac:dyDescent="0.2">
      <c r="A84" s="92" t="s">
        <v>2935</v>
      </c>
    </row>
    <row r="85" spans="1:8" x14ac:dyDescent="0.2">
      <c r="A85" s="92" t="s">
        <v>2936</v>
      </c>
    </row>
    <row r="86" spans="1:8" x14ac:dyDescent="0.2">
      <c r="A86" s="92" t="s">
        <v>2937</v>
      </c>
    </row>
    <row r="87" spans="1:8" x14ac:dyDescent="0.2">
      <c r="A87" s="92" t="s">
        <v>2938</v>
      </c>
    </row>
    <row r="89" spans="1:8" x14ac:dyDescent="0.2">
      <c r="A89" s="92" t="s">
        <v>111</v>
      </c>
    </row>
    <row r="91" spans="1:8" x14ac:dyDescent="0.2">
      <c r="A91" s="581" t="s">
        <v>2935</v>
      </c>
    </row>
    <row r="92" spans="1:8" x14ac:dyDescent="0.2">
      <c r="A92" s="92" t="s">
        <v>2939</v>
      </c>
    </row>
    <row r="93" spans="1:8" x14ac:dyDescent="0.2">
      <c r="A93" s="92" t="s">
        <v>2940</v>
      </c>
      <c r="H93" s="92" t="s">
        <v>2941</v>
      </c>
    </row>
    <row r="94" spans="1:8" x14ac:dyDescent="0.2">
      <c r="A94" s="92" t="s">
        <v>2942</v>
      </c>
      <c r="H94" s="92" t="s">
        <v>2943</v>
      </c>
    </row>
    <row r="95" spans="1:8" x14ac:dyDescent="0.2">
      <c r="A95" s="92" t="s">
        <v>2944</v>
      </c>
      <c r="H95" s="92" t="s">
        <v>2945</v>
      </c>
    </row>
    <row r="97" spans="1:8" x14ac:dyDescent="0.2">
      <c r="A97" s="92" t="s">
        <v>2946</v>
      </c>
      <c r="H97" s="92" t="s">
        <v>2947</v>
      </c>
    </row>
    <row r="99" spans="1:8" x14ac:dyDescent="0.2">
      <c r="A99" s="92" t="s">
        <v>2948</v>
      </c>
    </row>
    <row r="100" spans="1:8" x14ac:dyDescent="0.2">
      <c r="F100" s="712">
        <f>1.02^12-1</f>
        <v>0.26824179456254527</v>
      </c>
    </row>
    <row r="101" spans="1:8" x14ac:dyDescent="0.2">
      <c r="F101" s="712"/>
    </row>
    <row r="103" spans="1:8" x14ac:dyDescent="0.2">
      <c r="A103" s="92" t="s">
        <v>2949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2950</v>
      </c>
    </row>
    <row r="107" spans="1:8" x14ac:dyDescent="0.2">
      <c r="B107" s="105" t="s">
        <v>1044</v>
      </c>
      <c r="C107" s="92" t="s">
        <v>2951</v>
      </c>
    </row>
    <row r="108" spans="1:8" x14ac:dyDescent="0.2">
      <c r="B108" s="105" t="s">
        <v>69</v>
      </c>
      <c r="C108" s="92" t="s">
        <v>2952</v>
      </c>
    </row>
    <row r="109" spans="1:8" x14ac:dyDescent="0.2">
      <c r="B109" s="105" t="s">
        <v>1053</v>
      </c>
      <c r="C109" s="92" t="s">
        <v>2953</v>
      </c>
    </row>
    <row r="110" spans="1:8" x14ac:dyDescent="0.2">
      <c r="A110" s="92" t="s">
        <v>2956</v>
      </c>
      <c r="B110" s="629" t="s">
        <v>2954</v>
      </c>
    </row>
    <row r="111" spans="1:8" x14ac:dyDescent="0.2">
      <c r="B111" s="629" t="s">
        <v>2955</v>
      </c>
    </row>
    <row r="112" spans="1:8" x14ac:dyDescent="0.2">
      <c r="B112" s="629"/>
    </row>
    <row r="113" spans="1:6" x14ac:dyDescent="0.2">
      <c r="A113" s="92" t="s">
        <v>2957</v>
      </c>
      <c r="B113" s="629"/>
    </row>
    <row r="114" spans="1:6" x14ac:dyDescent="0.2">
      <c r="A114" s="92" t="s">
        <v>2958</v>
      </c>
      <c r="B114" s="629"/>
    </row>
    <row r="115" spans="1:6" x14ac:dyDescent="0.2">
      <c r="A115" s="92" t="s">
        <v>2959</v>
      </c>
      <c r="B115" s="629"/>
    </row>
    <row r="116" spans="1:6" x14ac:dyDescent="0.2">
      <c r="B116" s="629"/>
    </row>
    <row r="117" spans="1:6" x14ac:dyDescent="0.2">
      <c r="B117" s="629"/>
    </row>
    <row r="118" spans="1:6" x14ac:dyDescent="0.2">
      <c r="B118" s="629"/>
    </row>
    <row r="119" spans="1:6" x14ac:dyDescent="0.2">
      <c r="A119" s="581" t="s">
        <v>2936</v>
      </c>
    </row>
    <row r="120" spans="1:6" x14ac:dyDescent="0.2">
      <c r="A120" s="92" t="s">
        <v>2960</v>
      </c>
    </row>
    <row r="121" spans="1:6" x14ac:dyDescent="0.2">
      <c r="A121" s="92" t="s">
        <v>2961</v>
      </c>
    </row>
    <row r="122" spans="1:6" x14ac:dyDescent="0.2">
      <c r="F122" s="630">
        <f>(1.04)^6-1</f>
        <v>0.26531901849600037</v>
      </c>
    </row>
    <row r="123" spans="1:6" x14ac:dyDescent="0.2">
      <c r="A123" s="92" t="s">
        <v>2962</v>
      </c>
    </row>
    <row r="124" spans="1:6" x14ac:dyDescent="0.2">
      <c r="A124" s="92" t="s">
        <v>2963</v>
      </c>
    </row>
    <row r="126" spans="1:6" x14ac:dyDescent="0.2">
      <c r="A126" s="581" t="s">
        <v>2937</v>
      </c>
    </row>
    <row r="127" spans="1:6" x14ac:dyDescent="0.2">
      <c r="A127" s="581"/>
    </row>
    <row r="128" spans="1:6" x14ac:dyDescent="0.2">
      <c r="A128" s="581"/>
    </row>
    <row r="129" spans="1:8" x14ac:dyDescent="0.2">
      <c r="A129" s="581"/>
    </row>
    <row r="130" spans="1:8" x14ac:dyDescent="0.2">
      <c r="A130" s="581" t="s">
        <v>2938</v>
      </c>
    </row>
    <row r="131" spans="1:8" x14ac:dyDescent="0.2">
      <c r="B131" s="629"/>
    </row>
    <row r="132" spans="1:8" x14ac:dyDescent="0.2">
      <c r="B132" s="629"/>
    </row>
    <row r="133" spans="1:8" x14ac:dyDescent="0.2">
      <c r="B133" s="629"/>
    </row>
    <row r="134" spans="1:8" x14ac:dyDescent="0.2">
      <c r="A134" s="627" t="s">
        <v>2964</v>
      </c>
      <c r="B134" s="631"/>
      <c r="C134" s="627"/>
      <c r="D134" s="627"/>
      <c r="E134" s="627"/>
      <c r="F134" s="627"/>
      <c r="G134" s="627"/>
      <c r="H134" s="627"/>
    </row>
    <row r="135" spans="1:8" x14ac:dyDescent="0.2">
      <c r="B135" s="629"/>
    </row>
    <row r="136" spans="1:8" x14ac:dyDescent="0.2">
      <c r="A136" s="92" t="s">
        <v>2965</v>
      </c>
      <c r="B136" s="629"/>
    </row>
    <row r="137" spans="1:8" x14ac:dyDescent="0.2">
      <c r="A137" s="92" t="s">
        <v>2966</v>
      </c>
      <c r="B137" s="629"/>
    </row>
    <row r="138" spans="1:8" x14ac:dyDescent="0.2">
      <c r="B138" s="629"/>
    </row>
    <row r="139" spans="1:8" x14ac:dyDescent="0.2">
      <c r="A139" s="92" t="s">
        <v>111</v>
      </c>
      <c r="B139" s="629"/>
    </row>
    <row r="140" spans="1:8" x14ac:dyDescent="0.2">
      <c r="B140" s="629"/>
    </row>
    <row r="141" spans="1:8" x14ac:dyDescent="0.2">
      <c r="A141" s="92" t="s">
        <v>2967</v>
      </c>
      <c r="B141" s="629"/>
    </row>
    <row r="142" spans="1:8" x14ac:dyDescent="0.2">
      <c r="A142" s="92" t="s">
        <v>2968</v>
      </c>
      <c r="B142" s="629"/>
    </row>
    <row r="143" spans="1:8" x14ac:dyDescent="0.2">
      <c r="A143" s="92" t="s">
        <v>2969</v>
      </c>
      <c r="B143" s="629"/>
    </row>
    <row r="144" spans="1:8" x14ac:dyDescent="0.2">
      <c r="B144" s="629"/>
    </row>
    <row r="145" spans="1:5" x14ac:dyDescent="0.2">
      <c r="B145" s="629"/>
    </row>
    <row r="146" spans="1:5" x14ac:dyDescent="0.2">
      <c r="B146" s="629"/>
    </row>
    <row r="147" spans="1:5" x14ac:dyDescent="0.2">
      <c r="B147" s="629"/>
    </row>
    <row r="148" spans="1:5" x14ac:dyDescent="0.2">
      <c r="A148" s="92" t="s">
        <v>2970</v>
      </c>
      <c r="B148" s="629"/>
    </row>
    <row r="149" spans="1:5" x14ac:dyDescent="0.2">
      <c r="A149" s="92" t="s">
        <v>2971</v>
      </c>
      <c r="B149" s="629"/>
    </row>
    <row r="150" spans="1:5" x14ac:dyDescent="0.2">
      <c r="A150" s="92" t="s">
        <v>2972</v>
      </c>
      <c r="B150" s="629"/>
    </row>
    <row r="151" spans="1:5" x14ac:dyDescent="0.2">
      <c r="A151" s="92" t="s">
        <v>2973</v>
      </c>
      <c r="B151" s="629"/>
    </row>
    <row r="152" spans="1:5" x14ac:dyDescent="0.2">
      <c r="B152" s="629"/>
    </row>
    <row r="153" spans="1:5" x14ac:dyDescent="0.2">
      <c r="A153" s="92" t="s">
        <v>2974</v>
      </c>
      <c r="B153" s="629"/>
    </row>
    <row r="154" spans="1:5" x14ac:dyDescent="0.2">
      <c r="A154" s="92" t="s">
        <v>2975</v>
      </c>
      <c r="B154" s="629"/>
    </row>
    <row r="155" spans="1:5" x14ac:dyDescent="0.2">
      <c r="B155" s="629"/>
    </row>
    <row r="156" spans="1:5" x14ac:dyDescent="0.2">
      <c r="B156" s="629"/>
      <c r="D156" s="628">
        <f>(1+3%/6)^1-1</f>
        <v>4.9999999999998934E-3</v>
      </c>
      <c r="E156" s="92" t="s">
        <v>87</v>
      </c>
    </row>
    <row r="157" spans="1:5" x14ac:dyDescent="0.2">
      <c r="B157" s="629"/>
      <c r="D157" s="92">
        <v>12</v>
      </c>
      <c r="E157" s="92" t="s">
        <v>89</v>
      </c>
    </row>
    <row r="158" spans="1:5" x14ac:dyDescent="0.2">
      <c r="B158" s="629"/>
      <c r="D158" s="92">
        <v>1000</v>
      </c>
      <c r="E158" s="92" t="s">
        <v>91</v>
      </c>
    </row>
    <row r="159" spans="1:5" x14ac:dyDescent="0.2">
      <c r="B159" s="629"/>
      <c r="D159" s="632">
        <f>PV(D156,D157,D158,D160)</f>
        <v>-11618.932066816311</v>
      </c>
      <c r="E159" s="92" t="s">
        <v>281</v>
      </c>
    </row>
    <row r="160" spans="1:5" x14ac:dyDescent="0.2">
      <c r="B160" s="629"/>
      <c r="D160" s="92">
        <v>0</v>
      </c>
      <c r="E160" s="92" t="s">
        <v>105</v>
      </c>
    </row>
    <row r="162" spans="1:8" x14ac:dyDescent="0.2">
      <c r="A162" s="627" t="s">
        <v>2976</v>
      </c>
      <c r="B162" s="627"/>
      <c r="C162" s="627"/>
      <c r="D162" s="627"/>
      <c r="E162" s="627"/>
      <c r="F162" s="627"/>
      <c r="G162" s="627"/>
      <c r="H162" s="627"/>
    </row>
    <row r="163" spans="1:8" x14ac:dyDescent="0.2">
      <c r="A163" s="92" t="s">
        <v>2977</v>
      </c>
    </row>
    <row r="164" spans="1:8" x14ac:dyDescent="0.2">
      <c r="A164" s="92" t="s">
        <v>2978</v>
      </c>
    </row>
    <row r="165" spans="1:8" x14ac:dyDescent="0.2">
      <c r="A165" s="92" t="s">
        <v>2979</v>
      </c>
    </row>
    <row r="167" spans="1:8" x14ac:dyDescent="0.2">
      <c r="A167" s="92" t="s">
        <v>111</v>
      </c>
    </row>
    <row r="169" spans="1:8" x14ac:dyDescent="0.2">
      <c r="A169" s="92" t="s">
        <v>2980</v>
      </c>
    </row>
    <row r="170" spans="1:8" x14ac:dyDescent="0.2">
      <c r="A170" s="92" t="s">
        <v>2981</v>
      </c>
    </row>
    <row r="174" spans="1:8" x14ac:dyDescent="0.2">
      <c r="A174" s="92" t="s">
        <v>2982</v>
      </c>
    </row>
    <row r="175" spans="1:8" x14ac:dyDescent="0.2">
      <c r="A175" s="92" t="s">
        <v>2983</v>
      </c>
    </row>
    <row r="176" spans="1:8" x14ac:dyDescent="0.2">
      <c r="A176" s="92" t="s">
        <v>2984</v>
      </c>
    </row>
    <row r="177" spans="1:5" x14ac:dyDescent="0.2">
      <c r="A177" s="92" t="s">
        <v>2985</v>
      </c>
    </row>
    <row r="179" spans="1:5" x14ac:dyDescent="0.2">
      <c r="A179" s="92" t="s">
        <v>2986</v>
      </c>
    </row>
    <row r="180" spans="1:5" x14ac:dyDescent="0.2">
      <c r="A180" s="92" t="s">
        <v>2988</v>
      </c>
    </row>
    <row r="181" spans="1:5" x14ac:dyDescent="0.2">
      <c r="A181" s="92" t="s">
        <v>2987</v>
      </c>
    </row>
    <row r="182" spans="1:5" x14ac:dyDescent="0.2">
      <c r="A182" s="92" t="s">
        <v>2989</v>
      </c>
    </row>
    <row r="184" spans="1:5" x14ac:dyDescent="0.2">
      <c r="C184" s="92" t="s">
        <v>2990</v>
      </c>
      <c r="E184" s="92" t="s">
        <v>2992</v>
      </c>
    </row>
    <row r="185" spans="1:5" x14ac:dyDescent="0.2">
      <c r="C185" s="92" t="s">
        <v>2991</v>
      </c>
      <c r="E185" s="92" t="s">
        <v>2993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32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10" t="s">
        <v>2994</v>
      </c>
      <c r="B194" s="710"/>
      <c r="C194" s="710"/>
      <c r="D194" s="710"/>
      <c r="E194" s="710"/>
      <c r="F194" s="710"/>
      <c r="G194" s="710"/>
      <c r="H194" s="710"/>
    </row>
    <row r="196" spans="1:8" x14ac:dyDescent="0.2">
      <c r="A196" s="129" t="s">
        <v>2995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2401</v>
      </c>
    </row>
    <row r="201" spans="1:8" x14ac:dyDescent="0.2">
      <c r="A201" s="133" t="s">
        <v>1071</v>
      </c>
      <c r="C201" s="549">
        <v>1</v>
      </c>
      <c r="D201" s="110"/>
      <c r="E201" s="110"/>
      <c r="F201" s="111"/>
      <c r="G201" s="110">
        <v>0</v>
      </c>
    </row>
    <row r="202" spans="1:8" x14ac:dyDescent="0.2">
      <c r="C202" s="416">
        <f>-20000*(1+8%)</f>
        <v>-21600</v>
      </c>
      <c r="D202" s="547" t="s">
        <v>1081</v>
      </c>
      <c r="E202" s="548"/>
      <c r="F202" s="548"/>
      <c r="G202" s="416">
        <v>20000</v>
      </c>
    </row>
    <row r="203" spans="1:8" x14ac:dyDescent="0.2">
      <c r="C203" s="415" t="s">
        <v>1082</v>
      </c>
      <c r="D203" s="548"/>
      <c r="E203" s="548"/>
      <c r="F203" s="548"/>
      <c r="G203" s="269" t="s">
        <v>1083</v>
      </c>
    </row>
    <row r="204" spans="1:8" s="269" customFormat="1" x14ac:dyDescent="0.2">
      <c r="C204" s="415" t="s">
        <v>1084</v>
      </c>
      <c r="G204" s="269" t="s">
        <v>1085</v>
      </c>
    </row>
    <row r="205" spans="1:8" s="269" customFormat="1" x14ac:dyDescent="0.2"/>
    <row r="206" spans="1:8" s="269" customFormat="1" x14ac:dyDescent="0.2">
      <c r="E206" s="414">
        <v>0.08</v>
      </c>
      <c r="G206" s="269" t="s">
        <v>1086</v>
      </c>
    </row>
    <row r="207" spans="1:8" s="269" customFormat="1" x14ac:dyDescent="0.2"/>
    <row r="208" spans="1:8" x14ac:dyDescent="0.2">
      <c r="A208" s="92" t="s">
        <v>1087</v>
      </c>
    </row>
    <row r="209" spans="1:8" x14ac:dyDescent="0.2">
      <c r="A209" s="92" t="s">
        <v>2399</v>
      </c>
    </row>
    <row r="210" spans="1:8" x14ac:dyDescent="0.2">
      <c r="A210" s="92" t="s">
        <v>2400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31">
        <f>-D215*1.02</f>
        <v>-21648.643199999999</v>
      </c>
      <c r="D215" s="552">
        <f>20808*1.02</f>
        <v>21224.16</v>
      </c>
      <c r="E215" s="551">
        <f>20400*(1+2%)</f>
        <v>20808</v>
      </c>
      <c r="F215" s="551">
        <f>20000*(1+2%)</f>
        <v>20400</v>
      </c>
      <c r="G215" s="550">
        <v>20000</v>
      </c>
    </row>
    <row r="216" spans="1:8" x14ac:dyDescent="0.2">
      <c r="C216" s="548"/>
      <c r="D216" s="548"/>
      <c r="E216" s="548"/>
      <c r="F216" s="548"/>
      <c r="G216" s="548"/>
    </row>
    <row r="217" spans="1:8" x14ac:dyDescent="0.2">
      <c r="C217" s="269" t="s">
        <v>1090</v>
      </c>
      <c r="D217" s="269" t="s">
        <v>1090</v>
      </c>
      <c r="E217" s="269" t="s">
        <v>1090</v>
      </c>
      <c r="F217" s="269"/>
      <c r="G217" s="269" t="s">
        <v>1090</v>
      </c>
    </row>
    <row r="218" spans="1:8" s="269" customFormat="1" x14ac:dyDescent="0.2"/>
    <row r="219" spans="1:8" s="269" customFormat="1" x14ac:dyDescent="0.2">
      <c r="A219" s="269" t="s">
        <v>1091</v>
      </c>
    </row>
    <row r="220" spans="1:8" s="269" customFormat="1" x14ac:dyDescent="0.2">
      <c r="A220" s="269" t="s">
        <v>2402</v>
      </c>
    </row>
    <row r="221" spans="1:8" s="269" customFormat="1" x14ac:dyDescent="0.2"/>
    <row r="222" spans="1:8" s="269" customFormat="1" x14ac:dyDescent="0.2">
      <c r="E222" s="553">
        <f>-C215/G215-1</f>
        <v>8.2432159999999977E-2</v>
      </c>
      <c r="G222" s="269" t="s">
        <v>1092</v>
      </c>
    </row>
    <row r="223" spans="1:8" s="269" customFormat="1" ht="17" thickBot="1" x14ac:dyDescent="0.25"/>
    <row r="224" spans="1:8" ht="17" thickBot="1" x14ac:dyDescent="0.25">
      <c r="A224" s="432" t="s">
        <v>2403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11" t="s">
        <v>1093</v>
      </c>
      <c r="H225" s="711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2996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2997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269"/>
      <c r="G248" s="269"/>
      <c r="H248" s="269" t="s">
        <v>1114</v>
      </c>
    </row>
    <row r="249" spans="1:8" x14ac:dyDescent="0.2">
      <c r="A249" s="92" t="s">
        <v>1115</v>
      </c>
      <c r="G249" s="269"/>
      <c r="H249" s="269" t="s">
        <v>1116</v>
      </c>
    </row>
    <row r="250" spans="1:8" s="269" customFormat="1" x14ac:dyDescent="0.2">
      <c r="A250" s="269" t="s">
        <v>1117</v>
      </c>
      <c r="H250" s="269" t="s">
        <v>1118</v>
      </c>
    </row>
    <row r="251" spans="1:8" s="269" customFormat="1" x14ac:dyDescent="0.2">
      <c r="A251" s="269" t="s">
        <v>1119</v>
      </c>
      <c r="H251" s="269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10" t="s">
        <v>2998</v>
      </c>
      <c r="B1" s="710"/>
      <c r="C1" s="710"/>
      <c r="D1" s="710"/>
      <c r="E1" s="710"/>
      <c r="F1" s="710"/>
      <c r="G1" s="710"/>
      <c r="H1" s="710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2420</v>
      </c>
    </row>
    <row r="6" spans="1:8" x14ac:dyDescent="0.2">
      <c r="A6" s="43" t="s">
        <v>2421</v>
      </c>
    </row>
    <row r="7" spans="1:8" x14ac:dyDescent="0.2">
      <c r="A7" s="43" t="s">
        <v>2422</v>
      </c>
    </row>
    <row r="9" spans="1:8" x14ac:dyDescent="0.2">
      <c r="A9" s="43" t="s">
        <v>2423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2389</v>
      </c>
    </row>
    <row r="49" spans="1:8" s="92" customFormat="1" ht="16" x14ac:dyDescent="0.2">
      <c r="A49" s="92" t="s">
        <v>2390</v>
      </c>
    </row>
    <row r="50" spans="1:8" s="92" customFormat="1" ht="16" x14ac:dyDescent="0.2">
      <c r="A50" s="92" t="s">
        <v>2391</v>
      </c>
    </row>
    <row r="51" spans="1:8" s="92" customFormat="1" ht="16" x14ac:dyDescent="0.2">
      <c r="A51" s="92" t="s">
        <v>2392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2397</v>
      </c>
      <c r="G58" s="105" t="s">
        <v>1228</v>
      </c>
      <c r="H58" s="92" t="s">
        <v>2393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2398</v>
      </c>
      <c r="G59" s="105" t="s">
        <v>2396</v>
      </c>
      <c r="H59" s="92" t="s">
        <v>2394</v>
      </c>
    </row>
    <row r="60" spans="1:8" s="92" customFormat="1" ht="16" x14ac:dyDescent="0.2">
      <c r="H60" s="92" t="s">
        <v>2395</v>
      </c>
    </row>
    <row r="61" spans="1:8" s="92" customFormat="1" ht="16" x14ac:dyDescent="0.2">
      <c r="A61" s="129" t="s">
        <v>2404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33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48"/>
      <c r="F69" s="633" t="s">
        <v>1048</v>
      </c>
    </row>
    <row r="70" spans="1:8" s="269" customFormat="1" ht="16" x14ac:dyDescent="0.2">
      <c r="A70" s="269" t="s">
        <v>1145</v>
      </c>
      <c r="F70" s="269" t="s">
        <v>3007</v>
      </c>
    </row>
    <row r="71" spans="1:8" s="269" customFormat="1" ht="16" x14ac:dyDescent="0.2">
      <c r="A71" s="269" t="s">
        <v>1146</v>
      </c>
      <c r="F71" s="269" t="s">
        <v>1147</v>
      </c>
      <c r="H71" s="269" t="s">
        <v>2999</v>
      </c>
    </row>
    <row r="72" spans="1:8" s="269" customFormat="1" ht="16" x14ac:dyDescent="0.2">
      <c r="A72" s="269" t="s">
        <v>1148</v>
      </c>
      <c r="H72" s="269" t="s">
        <v>3000</v>
      </c>
    </row>
    <row r="73" spans="1:8" s="269" customFormat="1" ht="16" x14ac:dyDescent="0.2">
      <c r="F73" s="269" t="s">
        <v>1149</v>
      </c>
      <c r="H73" s="269" t="s">
        <v>3001</v>
      </c>
    </row>
    <row r="74" spans="1:8" s="269" customFormat="1" ht="16" x14ac:dyDescent="0.2">
      <c r="A74" s="269" t="s">
        <v>3006</v>
      </c>
      <c r="E74" s="554">
        <f>(1.195618^(1/12)-1)*12</f>
        <v>0.1799998544405943</v>
      </c>
      <c r="F74" s="415" t="s">
        <v>197</v>
      </c>
      <c r="H74" s="269" t="s">
        <v>3002</v>
      </c>
    </row>
    <row r="75" spans="1:8" s="269" customFormat="1" ht="16" x14ac:dyDescent="0.2">
      <c r="H75" s="269" t="s">
        <v>3003</v>
      </c>
    </row>
    <row r="76" spans="1:8" s="269" customFormat="1" ht="16" x14ac:dyDescent="0.2">
      <c r="H76" s="269" t="s">
        <v>3004</v>
      </c>
    </row>
    <row r="77" spans="1:8" s="269" customFormat="1" ht="16" x14ac:dyDescent="0.2">
      <c r="H77" s="269" t="s">
        <v>3005</v>
      </c>
    </row>
    <row r="78" spans="1:8" s="92" customFormat="1" ht="16" x14ac:dyDescent="0.2">
      <c r="A78" s="434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3008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3009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3010</v>
      </c>
    </row>
    <row r="86" spans="1:10" s="92" customFormat="1" ht="16" x14ac:dyDescent="0.2">
      <c r="A86" s="92" t="s">
        <v>3011</v>
      </c>
    </row>
    <row r="87" spans="1:10" s="92" customFormat="1" ht="16" x14ac:dyDescent="0.2">
      <c r="A87" s="92" t="s">
        <v>3012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29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30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2405</v>
      </c>
      <c r="B95" s="469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2406</v>
      </c>
      <c r="B96" s="105"/>
    </row>
    <row r="97" spans="1:5" s="92" customFormat="1" ht="16" x14ac:dyDescent="0.2">
      <c r="A97" s="92" t="s">
        <v>3013</v>
      </c>
      <c r="B97" s="105"/>
    </row>
    <row r="98" spans="1:5" s="92" customFormat="1" ht="16" x14ac:dyDescent="0.2">
      <c r="A98" s="92" t="s">
        <v>2407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3014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2408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2424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2425</v>
      </c>
    </row>
    <row r="125" spans="1:8" s="92" customFormat="1" ht="16" x14ac:dyDescent="0.2">
      <c r="A125" s="92" t="s">
        <v>2426</v>
      </c>
    </row>
    <row r="126" spans="1:8" s="92" customFormat="1" ht="16" x14ac:dyDescent="0.2">
      <c r="A126" s="92" t="s">
        <v>2427</v>
      </c>
    </row>
    <row r="127" spans="1:8" s="92" customFormat="1" ht="16" x14ac:dyDescent="0.2">
      <c r="A127" s="92" t="s">
        <v>2428</v>
      </c>
    </row>
    <row r="128" spans="1:8" s="92" customFormat="1" ht="16" x14ac:dyDescent="0.2">
      <c r="A128" s="92" t="s">
        <v>2429</v>
      </c>
    </row>
    <row r="129" spans="1:8" s="92" customFormat="1" ht="16" x14ac:dyDescent="0.2"/>
    <row r="130" spans="1:8" s="92" customFormat="1" ht="16" x14ac:dyDescent="0.2">
      <c r="A130" s="92" t="s">
        <v>2430</v>
      </c>
    </row>
    <row r="131" spans="1:8" s="92" customFormat="1" ht="17" thickBot="1" x14ac:dyDescent="0.25">
      <c r="A131" s="92" t="s">
        <v>2431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556" t="s">
        <v>1049</v>
      </c>
      <c r="E134" s="92" t="s">
        <v>1062</v>
      </c>
      <c r="H134" s="99"/>
    </row>
    <row r="135" spans="1:8" s="92" customFormat="1" ht="16" x14ac:dyDescent="0.2">
      <c r="D135" s="556" t="s">
        <v>1063</v>
      </c>
      <c r="E135" s="92" t="s">
        <v>1064</v>
      </c>
      <c r="H135" s="99"/>
    </row>
    <row r="136" spans="1:8" s="92" customFormat="1" ht="17" thickBot="1" x14ac:dyDescent="0.25">
      <c r="D136" s="543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2438</v>
      </c>
      <c r="D138" s="415" t="s">
        <v>2437</v>
      </c>
      <c r="E138" s="415" t="s">
        <v>2436</v>
      </c>
      <c r="F138" s="415" t="s">
        <v>2435</v>
      </c>
    </row>
    <row r="139" spans="1:8" s="92" customFormat="1" ht="16" x14ac:dyDescent="0.2">
      <c r="A139" s="92" t="s">
        <v>2434</v>
      </c>
      <c r="C139" s="110">
        <v>1</v>
      </c>
      <c r="D139" s="549">
        <v>0.75</v>
      </c>
      <c r="E139" s="549">
        <v>0.5</v>
      </c>
      <c r="F139" s="549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269">
        <f>100000*(1+9%/4)^4</f>
        <v>109308.33187890623</v>
      </c>
      <c r="D140" s="415"/>
      <c r="E140" s="415"/>
      <c r="F140" s="634" t="s">
        <v>1160</v>
      </c>
      <c r="G140" s="416">
        <v>100000</v>
      </c>
      <c r="H140" s="92" t="s">
        <v>1161</v>
      </c>
    </row>
    <row r="141" spans="1:8" s="92" customFormat="1" ht="17" thickBot="1" x14ac:dyDescent="0.25">
      <c r="D141" s="555"/>
      <c r="E141" s="555"/>
      <c r="F141" s="555"/>
      <c r="G141" s="415">
        <v>-750</v>
      </c>
      <c r="H141" s="92" t="s">
        <v>2432</v>
      </c>
    </row>
    <row r="142" spans="1:8" s="92" customFormat="1" ht="17" thickBot="1" x14ac:dyDescent="0.25">
      <c r="A142" s="548"/>
      <c r="B142" s="548" t="str">
        <f ca="1">_xlfn.FORMULATEXT(C142)</f>
        <v>=C140</v>
      </c>
      <c r="C142" s="635">
        <f>C140</f>
        <v>109308.33187890623</v>
      </c>
      <c r="D142" s="415" t="s">
        <v>3017</v>
      </c>
      <c r="E142" s="555"/>
      <c r="F142" s="555"/>
      <c r="G142" s="417">
        <f>G140+G141</f>
        <v>99250</v>
      </c>
      <c r="H142" s="92" t="s">
        <v>2433</v>
      </c>
    </row>
    <row r="143" spans="1:8" s="92" customFormat="1" ht="16" x14ac:dyDescent="0.2"/>
    <row r="144" spans="1:8" s="92" customFormat="1" ht="16" x14ac:dyDescent="0.2">
      <c r="A144" s="92" t="s">
        <v>3015</v>
      </c>
    </row>
    <row r="145" spans="1:10" s="92" customFormat="1" ht="16" x14ac:dyDescent="0.2">
      <c r="A145" s="92" t="s">
        <v>3016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2439</v>
      </c>
      <c r="G151" s="92" t="s">
        <v>1061</v>
      </c>
      <c r="H151" s="92" t="s">
        <v>65</v>
      </c>
      <c r="I151" s="92" t="s">
        <v>1065</v>
      </c>
      <c r="J151" s="92" t="s">
        <v>3018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3019</v>
      </c>
    </row>
    <row r="153" spans="1:10" s="92" customFormat="1" ht="16" x14ac:dyDescent="0.2"/>
    <row r="154" spans="1:10" s="92" customFormat="1" ht="16" x14ac:dyDescent="0.2">
      <c r="A154" s="92" t="s">
        <v>2440</v>
      </c>
    </row>
    <row r="155" spans="1:10" s="92" customFormat="1" ht="16" x14ac:dyDescent="0.2">
      <c r="A155" s="92" t="s">
        <v>2441</v>
      </c>
      <c r="D155" s="92" t="s">
        <v>1048</v>
      </c>
    </row>
    <row r="156" spans="1:10" s="92" customFormat="1" ht="16" x14ac:dyDescent="0.2">
      <c r="A156" s="92" t="s">
        <v>2442</v>
      </c>
    </row>
    <row r="157" spans="1:10" s="92" customFormat="1" ht="16" x14ac:dyDescent="0.2">
      <c r="A157" s="92" t="s">
        <v>2443</v>
      </c>
    </row>
    <row r="158" spans="1:10" s="92" customFormat="1" ht="16" x14ac:dyDescent="0.2">
      <c r="A158" s="92" t="s">
        <v>2444</v>
      </c>
    </row>
    <row r="159" spans="1:10" s="92" customFormat="1" ht="16" x14ac:dyDescent="0.2">
      <c r="A159" s="92" t="s">
        <v>2445</v>
      </c>
    </row>
    <row r="160" spans="1:10" s="92" customFormat="1" ht="16" x14ac:dyDescent="0.2">
      <c r="A160" s="92" t="s">
        <v>2446</v>
      </c>
    </row>
    <row r="161" spans="1:8" s="92" customFormat="1" ht="16" x14ac:dyDescent="0.2"/>
    <row r="162" spans="1:8" s="92" customFormat="1" ht="16" x14ac:dyDescent="0.2">
      <c r="A162" s="92" t="s">
        <v>2447</v>
      </c>
    </row>
    <row r="163" spans="1:8" s="92" customFormat="1" ht="16" x14ac:dyDescent="0.2">
      <c r="A163" s="92" t="s">
        <v>2448</v>
      </c>
    </row>
    <row r="164" spans="1:8" s="92" customFormat="1" ht="16" x14ac:dyDescent="0.2">
      <c r="A164" s="92" t="s">
        <v>2449</v>
      </c>
    </row>
    <row r="165" spans="1:8" s="92" customFormat="1" ht="17" thickBot="1" x14ac:dyDescent="0.25"/>
    <row r="166" spans="1:8" s="92" customFormat="1" ht="16" x14ac:dyDescent="0.2">
      <c r="A166" s="557" t="s">
        <v>2450</v>
      </c>
      <c r="B166" s="558"/>
      <c r="C166" s="558"/>
      <c r="D166" s="558"/>
      <c r="E166" s="558"/>
      <c r="F166" s="558"/>
      <c r="G166" s="558"/>
      <c r="H166" s="559"/>
    </row>
    <row r="167" spans="1:8" s="92" customFormat="1" ht="16" x14ac:dyDescent="0.2">
      <c r="A167" s="560" t="s">
        <v>2451</v>
      </c>
      <c r="B167" s="270"/>
      <c r="C167" s="270"/>
      <c r="D167" s="270"/>
      <c r="E167" s="270"/>
      <c r="F167" s="270"/>
      <c r="G167" s="270"/>
      <c r="H167" s="561"/>
    </row>
    <row r="168" spans="1:8" s="92" customFormat="1" ht="16" x14ac:dyDescent="0.2">
      <c r="A168" s="560" t="s">
        <v>2452</v>
      </c>
      <c r="B168" s="270"/>
      <c r="C168" s="270"/>
      <c r="D168" s="270"/>
      <c r="E168" s="270"/>
      <c r="F168" s="270"/>
      <c r="G168" s="270"/>
      <c r="H168" s="561"/>
    </row>
    <row r="169" spans="1:8" s="92" customFormat="1" ht="16" x14ac:dyDescent="0.2">
      <c r="A169" s="560" t="s">
        <v>2453</v>
      </c>
      <c r="B169" s="270"/>
      <c r="C169" s="270"/>
      <c r="D169" s="270"/>
      <c r="E169" s="270"/>
      <c r="F169" s="270"/>
      <c r="G169" s="270"/>
      <c r="H169" s="561"/>
    </row>
    <row r="170" spans="1:8" s="92" customFormat="1" ht="16" x14ac:dyDescent="0.2">
      <c r="A170" s="560" t="s">
        <v>2454</v>
      </c>
      <c r="B170" s="270"/>
      <c r="C170" s="270"/>
      <c r="D170" s="270"/>
      <c r="E170" s="270"/>
      <c r="F170" s="270"/>
      <c r="G170" s="270"/>
      <c r="H170" s="561"/>
    </row>
    <row r="171" spans="1:8" s="92" customFormat="1" ht="17" thickBot="1" x14ac:dyDescent="0.25">
      <c r="A171" s="562"/>
      <c r="B171" s="563"/>
      <c r="C171" s="563"/>
      <c r="D171" s="563"/>
      <c r="E171" s="563"/>
      <c r="F171" s="563"/>
      <c r="G171" s="563"/>
      <c r="H171" s="564" t="s">
        <v>1061</v>
      </c>
    </row>
    <row r="172" spans="1:8" s="92" customFormat="1" ht="16" x14ac:dyDescent="0.2"/>
    <row r="173" spans="1:8" s="92" customFormat="1" ht="16" x14ac:dyDescent="0.2">
      <c r="A173" s="636" t="s">
        <v>3020</v>
      </c>
      <c r="B173" s="636"/>
      <c r="C173" s="636"/>
      <c r="D173" s="636"/>
      <c r="E173" s="636"/>
      <c r="F173" s="636"/>
      <c r="G173" s="636"/>
      <c r="H173" s="636"/>
    </row>
    <row r="174" spans="1:8" s="92" customFormat="1" ht="16" x14ac:dyDescent="0.2"/>
    <row r="175" spans="1:8" s="92" customFormat="1" ht="16" x14ac:dyDescent="0.2">
      <c r="A175" s="269" t="s">
        <v>3021</v>
      </c>
    </row>
    <row r="176" spans="1:8" s="92" customFormat="1" ht="16" x14ac:dyDescent="0.2">
      <c r="A176" s="92" t="s">
        <v>3022</v>
      </c>
    </row>
    <row r="177" spans="1:8" s="92" customFormat="1" ht="16" x14ac:dyDescent="0.2">
      <c r="A177" s="92" t="s">
        <v>3023</v>
      </c>
    </row>
    <row r="178" spans="1:8" s="92" customFormat="1" ht="16" x14ac:dyDescent="0.2">
      <c r="A178" s="92" t="s">
        <v>3024</v>
      </c>
    </row>
    <row r="179" spans="1:8" s="92" customFormat="1" ht="16" x14ac:dyDescent="0.2">
      <c r="A179" s="92" t="s">
        <v>3028</v>
      </c>
    </row>
    <row r="180" spans="1:8" s="92" customFormat="1" ht="16" x14ac:dyDescent="0.2">
      <c r="A180" s="92" t="s">
        <v>3025</v>
      </c>
    </row>
    <row r="181" spans="1:8" s="92" customFormat="1" ht="16" x14ac:dyDescent="0.2">
      <c r="A181" s="92" t="s">
        <v>3026</v>
      </c>
    </row>
    <row r="182" spans="1:8" s="92" customFormat="1" ht="16" x14ac:dyDescent="0.2"/>
    <row r="183" spans="1:8" s="92" customFormat="1" ht="16" x14ac:dyDescent="0.2">
      <c r="A183" s="92" t="s">
        <v>3027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3029</v>
      </c>
    </row>
    <row r="187" spans="1:8" s="92" customFormat="1" ht="16" x14ac:dyDescent="0.2">
      <c r="B187" s="112">
        <f>-700000*(1+12%/6)^9</f>
        <v>-836564.79803561757</v>
      </c>
      <c r="C187" s="92" t="s">
        <v>3035</v>
      </c>
      <c r="G187" s="112">
        <v>700000</v>
      </c>
      <c r="H187" s="92" t="s">
        <v>3030</v>
      </c>
    </row>
    <row r="188" spans="1:8" s="92" customFormat="1" ht="16" x14ac:dyDescent="0.2">
      <c r="B188" s="112">
        <v>-8000</v>
      </c>
      <c r="C188" s="92" t="s">
        <v>3034</v>
      </c>
      <c r="G188" s="112">
        <v>-4000</v>
      </c>
      <c r="H188" s="92" t="s">
        <v>3031</v>
      </c>
    </row>
    <row r="189" spans="1:8" s="92" customFormat="1" ht="16" x14ac:dyDescent="0.2">
      <c r="B189" s="113">
        <f>SUM(B186:B188)</f>
        <v>-844564.79803561757</v>
      </c>
      <c r="C189" s="92" t="s">
        <v>3036</v>
      </c>
      <c r="G189" s="112">
        <f>-3%*700000</f>
        <v>-21000</v>
      </c>
      <c r="H189" s="92" t="s">
        <v>3032</v>
      </c>
    </row>
    <row r="190" spans="1:8" s="92" customFormat="1" ht="16" x14ac:dyDescent="0.2">
      <c r="G190" s="113">
        <f>SUM(G187:G189)</f>
        <v>675000</v>
      </c>
      <c r="H190" s="92" t="s">
        <v>3033</v>
      </c>
    </row>
    <row r="191" spans="1:8" s="92" customFormat="1" ht="16" x14ac:dyDescent="0.2"/>
    <row r="192" spans="1:8" s="92" customFormat="1" ht="16" x14ac:dyDescent="0.2">
      <c r="A192" s="433" t="s">
        <v>3037</v>
      </c>
      <c r="H192" s="107" t="s">
        <v>3070</v>
      </c>
    </row>
    <row r="193" spans="1:8" s="92" customFormat="1" ht="16" x14ac:dyDescent="0.2">
      <c r="C193" s="718">
        <f>B189/-G190-1</f>
        <v>0.25120710820091485</v>
      </c>
      <c r="H193" s="107" t="s">
        <v>3071</v>
      </c>
    </row>
    <row r="194" spans="1:8" s="92" customFormat="1" ht="16" x14ac:dyDescent="0.2">
      <c r="C194" s="718"/>
      <c r="H194" s="107" t="s">
        <v>3072</v>
      </c>
    </row>
    <row r="195" spans="1:8" s="92" customFormat="1" ht="16" x14ac:dyDescent="0.2">
      <c r="H195" s="107" t="s">
        <v>3073</v>
      </c>
    </row>
    <row r="196" spans="1:8" s="92" customFormat="1" ht="16" x14ac:dyDescent="0.2">
      <c r="A196" s="433" t="s">
        <v>3038</v>
      </c>
      <c r="H196" s="107" t="s">
        <v>3074</v>
      </c>
    </row>
    <row r="197" spans="1:8" s="92" customFormat="1" ht="16" x14ac:dyDescent="0.2">
      <c r="A197" s="433" t="s">
        <v>3039</v>
      </c>
    </row>
    <row r="198" spans="1:8" s="92" customFormat="1" ht="16" x14ac:dyDescent="0.2">
      <c r="A198" s="433" t="s">
        <v>3040</v>
      </c>
    </row>
    <row r="199" spans="1:8" s="92" customFormat="1" ht="16" x14ac:dyDescent="0.2">
      <c r="A199" s="433"/>
      <c r="H199" s="92" t="s">
        <v>3041</v>
      </c>
    </row>
    <row r="200" spans="1:8" s="92" customFormat="1" ht="16" x14ac:dyDescent="0.2">
      <c r="A200" s="433"/>
      <c r="H200" s="92" t="s">
        <v>3042</v>
      </c>
    </row>
    <row r="201" spans="1:8" s="92" customFormat="1" ht="16" x14ac:dyDescent="0.2">
      <c r="A201" s="433"/>
      <c r="C201" s="638">
        <f>(1+C193)^(1/1.5)-1</f>
        <v>0.16114414154438816</v>
      </c>
      <c r="H201" s="92" t="s">
        <v>3043</v>
      </c>
    </row>
    <row r="202" spans="1:8" s="92" customFormat="1" ht="16" x14ac:dyDescent="0.2">
      <c r="A202" s="433"/>
    </row>
    <row r="203" spans="1:8" s="92" customFormat="1" ht="16" x14ac:dyDescent="0.2">
      <c r="A203" s="639" t="s">
        <v>3020</v>
      </c>
      <c r="B203" s="636"/>
      <c r="C203" s="636"/>
      <c r="D203" s="636"/>
      <c r="E203" s="636"/>
      <c r="F203" s="636"/>
      <c r="G203" s="636"/>
      <c r="H203" s="636"/>
    </row>
    <row r="204" spans="1:8" s="92" customFormat="1" ht="16" x14ac:dyDescent="0.2"/>
    <row r="205" spans="1:8" s="92" customFormat="1" ht="16" x14ac:dyDescent="0.2">
      <c r="A205" s="92" t="s">
        <v>3044</v>
      </c>
    </row>
    <row r="206" spans="1:8" s="92" customFormat="1" ht="16" x14ac:dyDescent="0.2">
      <c r="A206" s="92" t="s">
        <v>3045</v>
      </c>
    </row>
    <row r="207" spans="1:8" s="92" customFormat="1" ht="16" x14ac:dyDescent="0.2">
      <c r="A207" s="92" t="s">
        <v>3046</v>
      </c>
    </row>
    <row r="208" spans="1:8" s="92" customFormat="1" ht="16" x14ac:dyDescent="0.2">
      <c r="A208" s="92" t="s">
        <v>3047</v>
      </c>
    </row>
    <row r="209" spans="1:8" s="92" customFormat="1" ht="16" x14ac:dyDescent="0.2">
      <c r="A209" s="92" t="s">
        <v>3048</v>
      </c>
    </row>
    <row r="210" spans="1:8" s="92" customFormat="1" ht="16" x14ac:dyDescent="0.2">
      <c r="A210" s="92" t="s">
        <v>3049</v>
      </c>
    </row>
    <row r="211" spans="1:8" s="92" customFormat="1" ht="16" x14ac:dyDescent="0.2"/>
    <row r="212" spans="1:8" s="92" customFormat="1" ht="16" x14ac:dyDescent="0.2">
      <c r="A212" s="92" t="s">
        <v>3050</v>
      </c>
    </row>
    <row r="213" spans="1:8" s="92" customFormat="1" ht="16" x14ac:dyDescent="0.2"/>
    <row r="214" spans="1:8" s="92" customFormat="1" ht="16" x14ac:dyDescent="0.2">
      <c r="A214" s="92" t="s">
        <v>3051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3017</v>
      </c>
      <c r="G216" s="112">
        <f>-100000+4000</f>
        <v>-96000</v>
      </c>
      <c r="H216" s="92" t="s">
        <v>2466</v>
      </c>
    </row>
    <row r="217" spans="1:8" s="92" customFormat="1" ht="16" x14ac:dyDescent="0.2"/>
    <row r="218" spans="1:8" s="92" customFormat="1" ht="16" x14ac:dyDescent="0.2">
      <c r="B218" s="92" t="s">
        <v>3060</v>
      </c>
      <c r="G218" s="92" t="s">
        <v>3053</v>
      </c>
    </row>
    <row r="219" spans="1:8" s="92" customFormat="1" ht="16" x14ac:dyDescent="0.2">
      <c r="B219" s="92" t="s">
        <v>3061</v>
      </c>
      <c r="G219" s="92" t="s">
        <v>3054</v>
      </c>
    </row>
    <row r="220" spans="1:8" s="92" customFormat="1" ht="16" x14ac:dyDescent="0.2">
      <c r="D220" s="92" t="s">
        <v>3062</v>
      </c>
      <c r="G220" s="92" t="s">
        <v>3055</v>
      </c>
    </row>
    <row r="221" spans="1:8" s="92" customFormat="1" ht="16" x14ac:dyDescent="0.2">
      <c r="B221" s="719" t="s">
        <v>3063</v>
      </c>
      <c r="C221" s="719"/>
      <c r="D221" s="719"/>
      <c r="E221" s="719"/>
      <c r="F221" s="548"/>
      <c r="G221" s="269" t="s">
        <v>3056</v>
      </c>
    </row>
    <row r="222" spans="1:8" s="92" customFormat="1" ht="16" x14ac:dyDescent="0.2">
      <c r="B222" s="92" t="s">
        <v>3064</v>
      </c>
      <c r="D222" s="640"/>
      <c r="E222" s="548"/>
      <c r="F222" s="548"/>
      <c r="G222" s="269" t="s">
        <v>3057</v>
      </c>
    </row>
    <row r="223" spans="1:8" s="92" customFormat="1" ht="16" x14ac:dyDescent="0.2">
      <c r="D223" s="92" t="s">
        <v>3065</v>
      </c>
      <c r="E223" s="548"/>
      <c r="F223" s="548"/>
      <c r="G223" s="269" t="s">
        <v>3058</v>
      </c>
    </row>
    <row r="224" spans="1:8" s="92" customFormat="1" ht="16" x14ac:dyDescent="0.2">
      <c r="D224" s="640"/>
      <c r="E224" s="548"/>
      <c r="F224" s="548"/>
      <c r="G224" s="269" t="s">
        <v>3059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3066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3069</v>
      </c>
      <c r="B232" s="92" t="s">
        <v>3067</v>
      </c>
    </row>
    <row r="233" spans="1:4" s="92" customFormat="1" ht="16" x14ac:dyDescent="0.2">
      <c r="B233" s="92" t="s">
        <v>3068</v>
      </c>
    </row>
    <row r="234" spans="1:4" s="92" customFormat="1" ht="16" x14ac:dyDescent="0.2"/>
    <row r="235" spans="1:4" s="92" customFormat="1" ht="16" x14ac:dyDescent="0.2">
      <c r="A235" s="92" t="s">
        <v>3052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37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2409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2455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2459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2456</v>
      </c>
    </row>
    <row r="307" spans="1:8" s="92" customFormat="1" ht="16" x14ac:dyDescent="0.2">
      <c r="A307" s="92" t="s">
        <v>2457</v>
      </c>
    </row>
    <row r="308" spans="1:8" s="92" customFormat="1" ht="16" x14ac:dyDescent="0.2">
      <c r="A308" s="92" t="s">
        <v>2458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565">
        <f>(1+9.5%)^(1/12)-1</f>
        <v>7.5915342905825689E-3</v>
      </c>
      <c r="F320" s="92" t="s">
        <v>2460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2461</v>
      </c>
    </row>
    <row r="324" spans="1:8" s="92" customFormat="1" ht="16" x14ac:dyDescent="0.2">
      <c r="A324" s="92" t="s">
        <v>2462</v>
      </c>
    </row>
    <row r="325" spans="1:8" s="92" customFormat="1" ht="16" x14ac:dyDescent="0.2">
      <c r="A325" s="92" t="s">
        <v>2463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2410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35">
        <f>-200000*1.09</f>
        <v>-218000.00000000003</v>
      </c>
      <c r="C341" s="548"/>
      <c r="D341" s="269" t="s">
        <v>1249</v>
      </c>
      <c r="E341" s="269" t="s">
        <v>2471</v>
      </c>
      <c r="F341" s="548"/>
      <c r="G341" s="416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48"/>
      <c r="C342" s="548"/>
      <c r="D342" s="548"/>
      <c r="E342" s="548"/>
      <c r="F342" s="548"/>
      <c r="G342" s="415">
        <f>-1.5%*G341</f>
        <v>-3000</v>
      </c>
      <c r="H342" s="92" t="s">
        <v>2465</v>
      </c>
      <c r="J342" s="92" t="s">
        <v>2464</v>
      </c>
    </row>
    <row r="343" spans="1:13" s="92" customFormat="1" ht="16" x14ac:dyDescent="0.2">
      <c r="B343" s="548"/>
      <c r="C343" s="548"/>
      <c r="D343" s="548"/>
      <c r="E343" s="548"/>
      <c r="F343" s="548"/>
      <c r="G343" s="413">
        <f>G341+G342</f>
        <v>197000</v>
      </c>
      <c r="H343" s="92" t="s">
        <v>1209</v>
      </c>
      <c r="I343" s="92" t="s">
        <v>2466</v>
      </c>
    </row>
    <row r="344" spans="1:13" s="92" customFormat="1" ht="17" thickBot="1" x14ac:dyDescent="0.25"/>
    <row r="345" spans="1:13" s="269" customFormat="1" ht="16" x14ac:dyDescent="0.2">
      <c r="A345" s="570" t="s">
        <v>2474</v>
      </c>
      <c r="J345" s="269" t="s">
        <v>2467</v>
      </c>
    </row>
    <row r="346" spans="1:13" s="269" customFormat="1" ht="16" x14ac:dyDescent="0.2">
      <c r="A346" s="715">
        <v>0.106599</v>
      </c>
      <c r="B346" s="717" t="s">
        <v>2473</v>
      </c>
      <c r="C346" s="566">
        <f>-B341</f>
        <v>218000.00000000003</v>
      </c>
      <c r="D346" s="717" t="s">
        <v>1211</v>
      </c>
      <c r="E346" s="717">
        <v>-1</v>
      </c>
      <c r="F346" s="566" t="s">
        <v>2472</v>
      </c>
      <c r="G346" s="717" t="s">
        <v>1212</v>
      </c>
      <c r="I346" s="269" t="s">
        <v>1992</v>
      </c>
      <c r="J346" s="269" t="s">
        <v>2468</v>
      </c>
    </row>
    <row r="347" spans="1:13" s="269" customFormat="1" ht="17" thickBot="1" x14ac:dyDescent="0.25">
      <c r="A347" s="716"/>
      <c r="B347" s="717"/>
      <c r="C347" s="567">
        <f>G343</f>
        <v>197000</v>
      </c>
      <c r="D347" s="717"/>
      <c r="E347" s="717"/>
      <c r="F347" s="568" t="s">
        <v>1065</v>
      </c>
      <c r="G347" s="717"/>
      <c r="I347" s="569" t="s">
        <v>2470</v>
      </c>
      <c r="J347" s="569" t="s">
        <v>2469</v>
      </c>
      <c r="K347" s="569"/>
      <c r="L347" s="569"/>
      <c r="M347" s="569"/>
    </row>
    <row r="348" spans="1:13" s="269" customFormat="1" ht="16" x14ac:dyDescent="0.2"/>
    <row r="349" spans="1:13" s="269" customFormat="1" ht="16" x14ac:dyDescent="0.2">
      <c r="A349" s="269" t="s">
        <v>1214</v>
      </c>
    </row>
    <row r="350" spans="1:13" s="269" customFormat="1" ht="16" x14ac:dyDescent="0.2">
      <c r="A350" s="269" t="s">
        <v>1215</v>
      </c>
    </row>
    <row r="351" spans="1:13" s="269" customFormat="1" ht="16" x14ac:dyDescent="0.2"/>
    <row r="352" spans="1:13" s="269" customFormat="1" ht="16" x14ac:dyDescent="0.2">
      <c r="A352" s="269" t="s">
        <v>2475</v>
      </c>
    </row>
    <row r="353" spans="1:8" s="269" customFormat="1" ht="16" x14ac:dyDescent="0.2">
      <c r="A353" s="269" t="s">
        <v>2476</v>
      </c>
    </row>
    <row r="354" spans="1:8" s="269" customFormat="1" ht="16" x14ac:dyDescent="0.2">
      <c r="F354" s="269" t="s">
        <v>2477</v>
      </c>
    </row>
    <row r="355" spans="1:8" s="269" customFormat="1" ht="16" x14ac:dyDescent="0.2"/>
    <row r="356" spans="1:8" s="269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6" t="s">
        <v>1225</v>
      </c>
      <c r="B399" s="437"/>
      <c r="C399" s="437"/>
      <c r="D399" s="437"/>
      <c r="E399" s="437"/>
      <c r="F399" s="437"/>
      <c r="G399" s="437"/>
      <c r="H399" s="438"/>
    </row>
    <row r="400" spans="1:8" s="92" customFormat="1" ht="17" thickBot="1" x14ac:dyDescent="0.25">
      <c r="A400" s="241" t="s">
        <v>1226</v>
      </c>
      <c r="B400" s="439"/>
      <c r="C400" s="439"/>
      <c r="D400" s="439"/>
      <c r="E400" s="439"/>
      <c r="F400" s="439"/>
      <c r="G400" s="439"/>
      <c r="H400" s="440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41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41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2411</v>
      </c>
      <c r="B425" s="129"/>
      <c r="C425" s="129"/>
      <c r="D425" s="436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2412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2413</v>
      </c>
      <c r="B455" s="129"/>
      <c r="C455" s="129"/>
      <c r="D455" s="129"/>
      <c r="E455" s="129"/>
      <c r="F455" s="129"/>
      <c r="G455" s="129" t="s">
        <v>2478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42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43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14">
        <v>0.106599</v>
      </c>
      <c r="B476" s="713" t="s">
        <v>1210</v>
      </c>
      <c r="C476" s="144">
        <f>-B468</f>
        <v>218000.00000000003</v>
      </c>
      <c r="D476" s="713" t="s">
        <v>1211</v>
      </c>
      <c r="E476" s="713">
        <v>-1</v>
      </c>
      <c r="F476" s="144" t="s">
        <v>1206</v>
      </c>
      <c r="G476" s="713" t="s">
        <v>1212</v>
      </c>
      <c r="H476" s="713" t="s">
        <v>1257</v>
      </c>
      <c r="I476" s="713"/>
    </row>
    <row r="477" spans="1:9" s="92" customFormat="1" ht="16" x14ac:dyDescent="0.2">
      <c r="A477" s="714"/>
      <c r="B477" s="713"/>
      <c r="C477" s="146">
        <f>G470</f>
        <v>197000</v>
      </c>
      <c r="D477" s="713"/>
      <c r="E477" s="713"/>
      <c r="F477" s="145" t="s">
        <v>1213</v>
      </c>
      <c r="G477" s="713"/>
      <c r="H477" s="713"/>
      <c r="I477" s="713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2479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571" t="s">
        <v>1275</v>
      </c>
      <c r="C503" s="445">
        <f>-4000*1.005^12</f>
        <v>-4246.7112474579908</v>
      </c>
      <c r="D503" s="396"/>
      <c r="E503" s="256" t="s">
        <v>2482</v>
      </c>
      <c r="F503" s="396"/>
      <c r="G503" s="261">
        <v>4000</v>
      </c>
      <c r="H503" s="43" t="s">
        <v>1207</v>
      </c>
    </row>
    <row r="504" spans="1:9" x14ac:dyDescent="0.2">
      <c r="A504" s="44"/>
      <c r="B504" s="396"/>
      <c r="C504" s="396"/>
      <c r="D504" s="396"/>
      <c r="E504" s="396"/>
      <c r="F504" s="396" t="s">
        <v>2480</v>
      </c>
      <c r="G504" s="261">
        <f>-2%*4000</f>
        <v>-80</v>
      </c>
      <c r="H504" s="43" t="s">
        <v>1276</v>
      </c>
      <c r="I504" s="43" t="s">
        <v>2481</v>
      </c>
    </row>
    <row r="505" spans="1:9" x14ac:dyDescent="0.2">
      <c r="A505" s="44"/>
      <c r="B505" s="396"/>
      <c r="C505" s="396"/>
      <c r="D505" s="396"/>
      <c r="E505" s="396"/>
      <c r="F505" s="396"/>
      <c r="G505" s="444">
        <f>G503+G504</f>
        <v>3920</v>
      </c>
      <c r="H505" s="43" t="s">
        <v>1277</v>
      </c>
      <c r="I505" s="43" t="s">
        <v>2466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2483</v>
      </c>
    </row>
    <row r="517" spans="1:8" ht="16" thickBot="1" x14ac:dyDescent="0.25">
      <c r="A517" s="44" t="s">
        <v>2484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2486</v>
      </c>
      <c r="C524" s="47">
        <f>F524*1.09</f>
        <v>4360</v>
      </c>
      <c r="D524" s="47" t="s">
        <v>2487</v>
      </c>
      <c r="F524" s="48">
        <v>4000</v>
      </c>
      <c r="G524" s="43" t="s">
        <v>2466</v>
      </c>
      <c r="H524" s="43" t="s">
        <v>2485</v>
      </c>
    </row>
    <row r="526" spans="1:8" x14ac:dyDescent="0.2">
      <c r="A526" s="43" t="s">
        <v>2489</v>
      </c>
    </row>
    <row r="527" spans="1:8" x14ac:dyDescent="0.2">
      <c r="A527" s="43" t="s">
        <v>2490</v>
      </c>
    </row>
    <row r="528" spans="1:8" x14ac:dyDescent="0.2">
      <c r="G528" s="43" t="s">
        <v>2483</v>
      </c>
    </row>
    <row r="529" spans="1:8" x14ac:dyDescent="0.2">
      <c r="A529" s="43" t="s">
        <v>2491</v>
      </c>
      <c r="G529" s="43" t="s">
        <v>2488</v>
      </c>
    </row>
    <row r="530" spans="1:8" ht="16" thickBot="1" x14ac:dyDescent="0.25"/>
    <row r="531" spans="1:8" ht="16" thickBot="1" x14ac:dyDescent="0.25">
      <c r="A531" s="43" t="s">
        <v>2492</v>
      </c>
      <c r="E531" s="154">
        <v>0.09</v>
      </c>
      <c r="F531" s="43" t="s">
        <v>2493</v>
      </c>
    </row>
    <row r="533" spans="1:8" x14ac:dyDescent="0.2">
      <c r="A533" s="43" t="s">
        <v>1288</v>
      </c>
    </row>
    <row r="535" spans="1:8" x14ac:dyDescent="0.2">
      <c r="A535" s="148" t="s">
        <v>2414</v>
      </c>
      <c r="B535" s="148" t="s">
        <v>2494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2496</v>
      </c>
    </row>
    <row r="542" spans="1:8" x14ac:dyDescent="0.2">
      <c r="A542" s="148" t="s">
        <v>2414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277" t="s">
        <v>2495</v>
      </c>
      <c r="B550" s="212"/>
      <c r="C550" s="212"/>
      <c r="D550" s="212"/>
      <c r="E550" s="212"/>
      <c r="F550" s="212"/>
      <c r="G550" s="212"/>
      <c r="H550" s="213"/>
    </row>
    <row r="551" spans="1:8" x14ac:dyDescent="0.2">
      <c r="A551" s="239" t="s">
        <v>1298</v>
      </c>
      <c r="B551" s="79"/>
      <c r="C551" s="79"/>
      <c r="D551" s="79"/>
      <c r="E551" s="79"/>
      <c r="F551" s="79"/>
      <c r="G551" s="79"/>
      <c r="H551" s="240"/>
    </row>
    <row r="552" spans="1:8" ht="16" thickBot="1" x14ac:dyDescent="0.25">
      <c r="A552" s="241" t="s">
        <v>1299</v>
      </c>
      <c r="B552" s="242"/>
      <c r="C552" s="242"/>
      <c r="D552" s="242"/>
      <c r="E552" s="242"/>
      <c r="F552" s="242"/>
      <c r="G552" s="242"/>
      <c r="H552" s="243"/>
    </row>
    <row r="554" spans="1:8" x14ac:dyDescent="0.2">
      <c r="A554" s="43" t="s">
        <v>1300</v>
      </c>
      <c r="C554" s="446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61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2497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2415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2415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2416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2416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2498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2499</v>
      </c>
    </row>
    <row r="634" spans="1:8" x14ac:dyDescent="0.2">
      <c r="A634" s="43" t="s">
        <v>2500</v>
      </c>
    </row>
    <row r="635" spans="1:8" x14ac:dyDescent="0.2">
      <c r="A635" s="43" t="s">
        <v>2501</v>
      </c>
    </row>
    <row r="636" spans="1:8" x14ac:dyDescent="0.2">
      <c r="A636" s="43" t="s">
        <v>2502</v>
      </c>
    </row>
    <row r="637" spans="1:8" x14ac:dyDescent="0.2">
      <c r="A637" s="43" t="s">
        <v>2503</v>
      </c>
    </row>
    <row r="638" spans="1:8" x14ac:dyDescent="0.2">
      <c r="A638" s="43" t="s">
        <v>2504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2511</v>
      </c>
      <c r="C642" s="48">
        <f>-250000*(1+12%/12)^12</f>
        <v>-281706.25753299246</v>
      </c>
      <c r="E642" s="43" t="s">
        <v>2509</v>
      </c>
      <c r="G642" s="48">
        <v>250000</v>
      </c>
      <c r="H642" s="47" t="s">
        <v>2505</v>
      </c>
    </row>
    <row r="643" spans="1:10" x14ac:dyDescent="0.2">
      <c r="A643" s="43" t="s">
        <v>2512</v>
      </c>
      <c r="C643" s="48">
        <f>-250000*4%</f>
        <v>-10000</v>
      </c>
      <c r="E643" s="43" t="s">
        <v>2510</v>
      </c>
      <c r="G643" s="47">
        <f>-3%*G642</f>
        <v>-7500</v>
      </c>
      <c r="H643" s="43" t="s">
        <v>2506</v>
      </c>
      <c r="J643" s="43" t="s">
        <v>2507</v>
      </c>
    </row>
    <row r="644" spans="1:10" x14ac:dyDescent="0.2">
      <c r="A644" s="43" t="s">
        <v>2513</v>
      </c>
      <c r="C644" s="48">
        <v>1000</v>
      </c>
      <c r="G644" s="150">
        <f>G642+G643</f>
        <v>242500</v>
      </c>
      <c r="H644" s="43" t="s">
        <v>2508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2514</v>
      </c>
    </row>
    <row r="648" spans="1:10" x14ac:dyDescent="0.2">
      <c r="A648" s="43" t="s">
        <v>2515</v>
      </c>
    </row>
    <row r="649" spans="1:10" x14ac:dyDescent="0.2">
      <c r="G649" s="43" t="s">
        <v>1221</v>
      </c>
    </row>
    <row r="650" spans="1:10" x14ac:dyDescent="0.2">
      <c r="B650" s="44" t="s">
        <v>1704</v>
      </c>
      <c r="E650" s="572">
        <f>-C645/G644-1</f>
        <v>0.19878869085770079</v>
      </c>
      <c r="G650" s="43" t="s">
        <v>2516</v>
      </c>
    </row>
    <row r="655" spans="1:10" x14ac:dyDescent="0.2">
      <c r="A655" s="148" t="s">
        <v>2417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2417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2418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2418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2419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2419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1" t="s">
        <v>2517</v>
      </c>
      <c r="B733" s="212"/>
      <c r="C733" s="212"/>
      <c r="D733" s="212"/>
      <c r="E733" s="212"/>
      <c r="F733" s="212"/>
      <c r="G733" s="212"/>
      <c r="H733" s="213"/>
    </row>
    <row r="734" spans="1:8" x14ac:dyDescent="0.2">
      <c r="A734" s="276"/>
      <c r="H734" s="215"/>
    </row>
    <row r="735" spans="1:8" x14ac:dyDescent="0.2">
      <c r="A735" s="276" t="s">
        <v>2518</v>
      </c>
      <c r="H735" s="215"/>
    </row>
    <row r="736" spans="1:8" x14ac:dyDescent="0.2">
      <c r="A736" s="276" t="s">
        <v>2519</v>
      </c>
      <c r="H736" s="215"/>
    </row>
    <row r="737" spans="1:8" x14ac:dyDescent="0.2">
      <c r="A737" s="276" t="s">
        <v>2520</v>
      </c>
      <c r="F737" s="43" t="s">
        <v>1144</v>
      </c>
      <c r="H737" s="215"/>
    </row>
    <row r="738" spans="1:8" x14ac:dyDescent="0.2">
      <c r="A738" s="276"/>
      <c r="H738" s="215"/>
    </row>
    <row r="739" spans="1:8" x14ac:dyDescent="0.2">
      <c r="A739" s="276" t="s">
        <v>2521</v>
      </c>
      <c r="H739" s="215"/>
    </row>
    <row r="740" spans="1:8" x14ac:dyDescent="0.2">
      <c r="A740" s="276"/>
      <c r="F740" s="43" t="s">
        <v>2522</v>
      </c>
      <c r="H740" s="215"/>
    </row>
    <row r="741" spans="1:8" x14ac:dyDescent="0.2">
      <c r="A741" s="276"/>
      <c r="H741" s="215"/>
    </row>
    <row r="742" spans="1:8" x14ac:dyDescent="0.2">
      <c r="A742" s="276" t="s">
        <v>2523</v>
      </c>
      <c r="H742" s="215"/>
    </row>
    <row r="743" spans="1:8" x14ac:dyDescent="0.2">
      <c r="A743" s="276" t="s">
        <v>2524</v>
      </c>
      <c r="H743" s="215"/>
    </row>
    <row r="744" spans="1:8" x14ac:dyDescent="0.2">
      <c r="A744" s="276" t="s">
        <v>2525</v>
      </c>
      <c r="H744" s="215"/>
    </row>
    <row r="745" spans="1:8" x14ac:dyDescent="0.2">
      <c r="A745" s="276" t="s">
        <v>2526</v>
      </c>
      <c r="H745" s="215"/>
    </row>
    <row r="746" spans="1:8" x14ac:dyDescent="0.2">
      <c r="A746" s="276"/>
      <c r="F746" s="43" t="s">
        <v>2483</v>
      </c>
      <c r="H746" s="215"/>
    </row>
    <row r="747" spans="1:8" x14ac:dyDescent="0.2">
      <c r="A747" s="276"/>
      <c r="H747" s="215"/>
    </row>
    <row r="748" spans="1:8" x14ac:dyDescent="0.2">
      <c r="A748" s="276" t="s">
        <v>2527</v>
      </c>
      <c r="H748" s="215"/>
    </row>
    <row r="749" spans="1:8" x14ac:dyDescent="0.2">
      <c r="A749" s="276" t="s">
        <v>2528</v>
      </c>
      <c r="H749" s="215"/>
    </row>
    <row r="750" spans="1:8" x14ac:dyDescent="0.2">
      <c r="A750" s="276" t="s">
        <v>2529</v>
      </c>
      <c r="H750" s="215"/>
    </row>
    <row r="751" spans="1:8" ht="16" thickBot="1" x14ac:dyDescent="0.25">
      <c r="A751" s="234" t="s">
        <v>2530</v>
      </c>
      <c r="B751" s="217"/>
      <c r="C751" s="217"/>
      <c r="D751" s="217"/>
      <c r="E751" s="217"/>
      <c r="F751" s="217"/>
      <c r="G751" s="217"/>
      <c r="H751" s="218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10" t="s">
        <v>3075</v>
      </c>
      <c r="B1" s="710"/>
      <c r="C1" s="710"/>
      <c r="D1" s="710"/>
      <c r="E1" s="710"/>
      <c r="F1" s="710"/>
      <c r="G1" s="710"/>
      <c r="H1" s="710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573" t="s">
        <v>2531</v>
      </c>
      <c r="B40" s="574"/>
      <c r="C40" s="574"/>
      <c r="D40" s="574"/>
      <c r="E40" s="574"/>
      <c r="F40" s="574"/>
      <c r="G40" s="574"/>
      <c r="H40" s="574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2532</v>
      </c>
    </row>
    <row r="49" spans="1:8" x14ac:dyDescent="0.2">
      <c r="A49" s="92" t="s">
        <v>2533</v>
      </c>
    </row>
    <row r="50" spans="1:8" x14ac:dyDescent="0.2">
      <c r="A50" s="92" t="s">
        <v>3076</v>
      </c>
    </row>
    <row r="52" spans="1:8" x14ac:dyDescent="0.2">
      <c r="A52" s="92" t="s">
        <v>111</v>
      </c>
    </row>
    <row r="53" spans="1:8" x14ac:dyDescent="0.2">
      <c r="A53" s="93" t="s">
        <v>2534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19">
        <v>4.0000000000000001E-3</v>
      </c>
      <c r="E62" s="92" t="s">
        <v>87</v>
      </c>
    </row>
    <row r="63" spans="1:8" x14ac:dyDescent="0.2">
      <c r="A63" s="92" t="s">
        <v>1462</v>
      </c>
      <c r="D63" s="415">
        <v>24</v>
      </c>
      <c r="E63" s="92" t="s">
        <v>89</v>
      </c>
    </row>
    <row r="64" spans="1:8" x14ac:dyDescent="0.2">
      <c r="A64" s="92" t="s">
        <v>1464</v>
      </c>
      <c r="D64" s="575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15">
        <v>4000</v>
      </c>
      <c r="E65" s="92" t="s">
        <v>281</v>
      </c>
    </row>
    <row r="66" spans="1:7" x14ac:dyDescent="0.2">
      <c r="A66" s="92" t="s">
        <v>1465</v>
      </c>
      <c r="D66" s="415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48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49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2535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2536</v>
      </c>
    </row>
    <row r="106" spans="1:8" x14ac:dyDescent="0.2">
      <c r="A106" s="92" t="s">
        <v>1477</v>
      </c>
      <c r="E106" s="92" t="s">
        <v>2537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19">
        <v>8.0000000000000002E-3</v>
      </c>
      <c r="F110" s="92" t="s">
        <v>87</v>
      </c>
    </row>
    <row r="111" spans="1:8" x14ac:dyDescent="0.2">
      <c r="A111" s="92" t="s">
        <v>3077</v>
      </c>
      <c r="E111" s="415">
        <f>10*12</f>
        <v>120</v>
      </c>
      <c r="F111" s="92" t="s">
        <v>89</v>
      </c>
    </row>
    <row r="112" spans="1:8" x14ac:dyDescent="0.2">
      <c r="A112" s="92" t="s">
        <v>1482</v>
      </c>
      <c r="E112" s="532">
        <f>PMT(E110,E111,E113,E114)</f>
        <v>-97.459268774618423</v>
      </c>
      <c r="F112" s="92" t="s">
        <v>91</v>
      </c>
    </row>
    <row r="113" spans="1:7" x14ac:dyDescent="0.2">
      <c r="A113" s="92" t="s">
        <v>2663</v>
      </c>
      <c r="E113" s="415">
        <v>7500</v>
      </c>
      <c r="F113" s="92" t="s">
        <v>281</v>
      </c>
    </row>
    <row r="114" spans="1:7" x14ac:dyDescent="0.2">
      <c r="A114" s="92" t="s">
        <v>1483</v>
      </c>
      <c r="E114" s="415">
        <v>0</v>
      </c>
      <c r="F114" s="92" t="s">
        <v>105</v>
      </c>
    </row>
    <row r="116" spans="1:7" x14ac:dyDescent="0.2">
      <c r="A116" s="93" t="s">
        <v>3078</v>
      </c>
    </row>
    <row r="117" spans="1:7" ht="17" thickBot="1" x14ac:dyDescent="0.25">
      <c r="A117" s="269" t="s">
        <v>1484</v>
      </c>
      <c r="B117" s="269"/>
      <c r="C117" s="269"/>
      <c r="D117" s="269"/>
      <c r="E117" s="419">
        <f>E110</f>
        <v>8.0000000000000002E-3</v>
      </c>
      <c r="F117" s="92" t="s">
        <v>87</v>
      </c>
    </row>
    <row r="118" spans="1:7" ht="17" thickBot="1" x14ac:dyDescent="0.25">
      <c r="A118" s="269" t="s">
        <v>1487</v>
      </c>
      <c r="B118" s="269"/>
      <c r="C118" s="269"/>
      <c r="D118" s="269"/>
      <c r="E118" s="577">
        <v>28</v>
      </c>
      <c r="F118" s="125" t="s">
        <v>1488</v>
      </c>
      <c r="G118" s="576" t="s">
        <v>1489</v>
      </c>
    </row>
    <row r="119" spans="1:7" x14ac:dyDescent="0.2">
      <c r="A119" s="269" t="s">
        <v>1485</v>
      </c>
      <c r="B119" s="269"/>
      <c r="C119" s="269"/>
      <c r="D119" s="269"/>
      <c r="E119" s="415">
        <f>E111</f>
        <v>120</v>
      </c>
      <c r="F119" s="92" t="s">
        <v>89</v>
      </c>
    </row>
    <row r="120" spans="1:7" x14ac:dyDescent="0.2">
      <c r="A120" s="269" t="s">
        <v>1486</v>
      </c>
      <c r="B120" s="269"/>
      <c r="C120" s="269"/>
      <c r="D120" s="269"/>
      <c r="E120" s="415">
        <f>E113</f>
        <v>7500</v>
      </c>
      <c r="F120" s="92" t="s">
        <v>281</v>
      </c>
    </row>
    <row r="121" spans="1:7" x14ac:dyDescent="0.2">
      <c r="A121" s="269" t="s">
        <v>1483</v>
      </c>
      <c r="B121" s="269"/>
      <c r="C121" s="269"/>
      <c r="D121" s="269"/>
      <c r="E121" s="415">
        <f>E114</f>
        <v>0</v>
      </c>
      <c r="F121" s="92" t="s">
        <v>105</v>
      </c>
    </row>
    <row r="122" spans="1:7" x14ac:dyDescent="0.2">
      <c r="A122" s="269"/>
      <c r="B122" s="269"/>
      <c r="C122" s="269" t="str">
        <f ca="1">_xlfn.FORMULATEXT(E122)</f>
        <v>=PPMT(E117,E118,E119,E120,E121)</v>
      </c>
      <c r="D122" s="269"/>
      <c r="E122" s="532">
        <f>PPMT(E117,E118,E119,E120,E121)</f>
        <v>-46.450849667842007</v>
      </c>
      <c r="F122" s="92" t="s">
        <v>1490</v>
      </c>
      <c r="G122" s="92" t="s">
        <v>3080</v>
      </c>
    </row>
    <row r="124" spans="1:7" x14ac:dyDescent="0.2">
      <c r="A124" s="92" t="s">
        <v>3079</v>
      </c>
    </row>
    <row r="126" spans="1:7" x14ac:dyDescent="0.2">
      <c r="A126" s="93" t="s">
        <v>3081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577">
        <v>94</v>
      </c>
      <c r="F128" s="578" t="s">
        <v>1488</v>
      </c>
      <c r="G128" s="579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3082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2538</v>
      </c>
    </row>
    <row r="136" spans="1:7" x14ac:dyDescent="0.2">
      <c r="A136" s="93" t="s">
        <v>1492</v>
      </c>
    </row>
    <row r="137" spans="1:7" x14ac:dyDescent="0.2">
      <c r="A137" s="580" t="s">
        <v>3083</v>
      </c>
      <c r="B137" s="580"/>
      <c r="C137" s="580"/>
      <c r="D137" s="580"/>
      <c r="E137" s="580"/>
      <c r="F137" s="580"/>
      <c r="G137" s="580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581" t="s">
        <v>1497</v>
      </c>
      <c r="B143" s="581"/>
      <c r="C143" s="581"/>
      <c r="D143" s="581"/>
    </row>
    <row r="144" spans="1:7" x14ac:dyDescent="0.2">
      <c r="A144" s="92" t="s">
        <v>2539</v>
      </c>
      <c r="E144" s="122">
        <v>8.0000000000000002E-3</v>
      </c>
      <c r="F144" s="92" t="s">
        <v>87</v>
      </c>
    </row>
    <row r="145" spans="1:7" x14ac:dyDescent="0.2">
      <c r="A145" s="92" t="s">
        <v>2540</v>
      </c>
      <c r="E145" s="105">
        <v>120</v>
      </c>
      <c r="F145" s="92" t="s">
        <v>89</v>
      </c>
    </row>
    <row r="146" spans="1:7" x14ac:dyDescent="0.2">
      <c r="A146" s="92" t="s">
        <v>2541</v>
      </c>
      <c r="E146" s="105">
        <v>7500</v>
      </c>
      <c r="F146" s="92" t="s">
        <v>281</v>
      </c>
    </row>
    <row r="147" spans="1:7" x14ac:dyDescent="0.2">
      <c r="A147" s="92" t="s">
        <v>2543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2542</v>
      </c>
      <c r="E148" s="105">
        <v>0</v>
      </c>
      <c r="F148" s="92" t="s">
        <v>105</v>
      </c>
    </row>
    <row r="150" spans="1:7" x14ac:dyDescent="0.2">
      <c r="A150" s="581" t="s">
        <v>1498</v>
      </c>
    </row>
    <row r="151" spans="1:7" x14ac:dyDescent="0.2">
      <c r="A151" s="269" t="s">
        <v>3084</v>
      </c>
      <c r="B151" s="269"/>
      <c r="C151" s="269"/>
      <c r="D151" s="269"/>
      <c r="E151" s="625"/>
      <c r="F151" s="269"/>
      <c r="G151" s="269"/>
    </row>
    <row r="152" spans="1:7" x14ac:dyDescent="0.2">
      <c r="A152" s="269" t="s">
        <v>3085</v>
      </c>
      <c r="B152" s="269"/>
      <c r="C152" s="269"/>
      <c r="D152" s="269"/>
      <c r="E152" s="415"/>
      <c r="F152" s="269"/>
      <c r="G152" s="269"/>
    </row>
    <row r="153" spans="1:7" x14ac:dyDescent="0.2">
      <c r="A153" s="269"/>
      <c r="B153" s="269"/>
      <c r="C153" s="269"/>
      <c r="D153" s="269"/>
      <c r="E153" s="415"/>
      <c r="F153" s="269"/>
      <c r="G153" s="269"/>
    </row>
    <row r="154" spans="1:7" x14ac:dyDescent="0.2">
      <c r="A154" s="269" t="s">
        <v>3086</v>
      </c>
      <c r="B154" s="269"/>
      <c r="C154" s="269"/>
      <c r="D154" s="269"/>
      <c r="E154" s="625">
        <f>E144</f>
        <v>8.0000000000000002E-3</v>
      </c>
      <c r="F154" s="269" t="s">
        <v>87</v>
      </c>
      <c r="G154" s="269"/>
    </row>
    <row r="155" spans="1:7" x14ac:dyDescent="0.2">
      <c r="A155" s="269" t="s">
        <v>3087</v>
      </c>
      <c r="B155" s="269"/>
      <c r="C155" s="269"/>
      <c r="D155" s="269"/>
      <c r="E155" s="415">
        <f>120-33</f>
        <v>87</v>
      </c>
      <c r="F155" s="117" t="s">
        <v>89</v>
      </c>
      <c r="G155" s="269"/>
    </row>
    <row r="156" spans="1:7" x14ac:dyDescent="0.2">
      <c r="A156" s="269" t="s">
        <v>3088</v>
      </c>
      <c r="B156" s="269"/>
      <c r="C156" s="269"/>
      <c r="D156" s="269"/>
      <c r="E156" s="624">
        <f>E147</f>
        <v>-97.459268774618423</v>
      </c>
      <c r="F156" s="269" t="s">
        <v>91</v>
      </c>
      <c r="G156" s="269"/>
    </row>
    <row r="157" spans="1:7" x14ac:dyDescent="0.2">
      <c r="A157" s="269" t="s">
        <v>3089</v>
      </c>
      <c r="B157" s="269"/>
      <c r="C157" s="269"/>
      <c r="D157" s="269"/>
      <c r="E157" s="641">
        <f>PV(E154,E155,E156,E158)</f>
        <v>6091.7133734066838</v>
      </c>
      <c r="F157" s="269" t="s">
        <v>281</v>
      </c>
      <c r="G157" s="269"/>
    </row>
    <row r="158" spans="1:7" x14ac:dyDescent="0.2">
      <c r="A158" s="269"/>
      <c r="B158" s="269"/>
      <c r="C158" s="269"/>
      <c r="D158" s="269"/>
      <c r="E158" s="415">
        <v>0</v>
      </c>
      <c r="F158" s="269" t="s">
        <v>105</v>
      </c>
      <c r="G158" s="269"/>
    </row>
    <row r="159" spans="1:7" x14ac:dyDescent="0.2">
      <c r="E159" s="105"/>
    </row>
    <row r="160" spans="1:7" x14ac:dyDescent="0.2">
      <c r="A160" s="93" t="s">
        <v>2544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2545</v>
      </c>
      <c r="B166" s="96"/>
      <c r="C166" s="96"/>
      <c r="D166" s="96"/>
      <c r="E166" s="429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2546</v>
      </c>
      <c r="C168" s="111"/>
      <c r="D168" s="110" t="s">
        <v>2547</v>
      </c>
      <c r="E168" s="105"/>
      <c r="H168" s="99"/>
    </row>
    <row r="169" spans="1:8" x14ac:dyDescent="0.2">
      <c r="A169" s="98"/>
      <c r="B169" s="43" t="s">
        <v>2548</v>
      </c>
      <c r="D169" s="105" t="s">
        <v>1469</v>
      </c>
      <c r="E169" s="105"/>
      <c r="H169" s="99"/>
    </row>
    <row r="170" spans="1:8" x14ac:dyDescent="0.2">
      <c r="A170" s="98"/>
      <c r="B170" s="43" t="s">
        <v>2549</v>
      </c>
      <c r="D170" s="105" t="s">
        <v>2550</v>
      </c>
      <c r="E170" s="105"/>
      <c r="H170" s="99"/>
    </row>
    <row r="171" spans="1:8" x14ac:dyDescent="0.2">
      <c r="A171" s="98"/>
      <c r="B171" s="43" t="s">
        <v>2551</v>
      </c>
      <c r="D171" s="105" t="s">
        <v>2552</v>
      </c>
      <c r="E171" s="105"/>
      <c r="H171" s="99"/>
    </row>
    <row r="172" spans="1:8" ht="17" thickBot="1" x14ac:dyDescent="0.25">
      <c r="A172" s="100"/>
      <c r="B172" s="217" t="s">
        <v>2553</v>
      </c>
      <c r="C172" s="101"/>
      <c r="D172" s="430" t="s">
        <v>34</v>
      </c>
      <c r="E172" s="583" t="s">
        <v>2554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2558</v>
      </c>
      <c r="B174" s="125"/>
      <c r="C174" s="125"/>
      <c r="D174" s="125"/>
      <c r="E174" s="589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2559</v>
      </c>
      <c r="B176" s="590"/>
      <c r="C176" s="590"/>
      <c r="D176" s="590"/>
      <c r="E176" s="591"/>
      <c r="F176" s="590"/>
      <c r="G176" s="590"/>
      <c r="H176" s="592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2555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2556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41" t="s">
        <v>1993</v>
      </c>
      <c r="E186" s="541" t="s">
        <v>1994</v>
      </c>
      <c r="F186" s="541" t="s">
        <v>1994</v>
      </c>
      <c r="G186" s="541" t="s">
        <v>775</v>
      </c>
    </row>
    <row r="187" spans="1:8" x14ac:dyDescent="0.2">
      <c r="D187" s="541" t="s">
        <v>2120</v>
      </c>
      <c r="E187" s="541" t="s">
        <v>3096</v>
      </c>
      <c r="F187" s="541" t="s">
        <v>3100</v>
      </c>
      <c r="G187" s="541" t="s">
        <v>3096</v>
      </c>
    </row>
    <row r="188" spans="1:8" x14ac:dyDescent="0.2">
      <c r="D188" s="541" t="s">
        <v>3090</v>
      </c>
      <c r="E188" s="541" t="s">
        <v>3098</v>
      </c>
      <c r="F188" s="541" t="s">
        <v>3101</v>
      </c>
      <c r="G188" s="541" t="s">
        <v>3097</v>
      </c>
    </row>
    <row r="189" spans="1:8" x14ac:dyDescent="0.2">
      <c r="D189" s="584" t="s">
        <v>1467</v>
      </c>
      <c r="E189" s="469" t="s">
        <v>1506</v>
      </c>
      <c r="F189" s="587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585" t="s">
        <v>1450</v>
      </c>
      <c r="E190" s="586" t="s">
        <v>1451</v>
      </c>
      <c r="F190" s="588" t="s">
        <v>1452</v>
      </c>
      <c r="G190" s="169" t="s">
        <v>1453</v>
      </c>
    </row>
    <row r="191" spans="1:8" x14ac:dyDescent="0.2">
      <c r="B191" s="92">
        <v>0</v>
      </c>
      <c r="C191" s="642"/>
      <c r="D191" s="642"/>
      <c r="E191" s="642"/>
      <c r="F191" s="642"/>
      <c r="G191" s="105" t="s">
        <v>1636</v>
      </c>
    </row>
    <row r="192" spans="1:8" x14ac:dyDescent="0.2">
      <c r="D192" s="105" t="s">
        <v>3091</v>
      </c>
      <c r="E192" s="541" t="s">
        <v>3099</v>
      </c>
      <c r="G192" s="105" t="s">
        <v>3092</v>
      </c>
    </row>
    <row r="193" spans="1:9" x14ac:dyDescent="0.2">
      <c r="D193" s="105" t="str">
        <f>D192</f>
        <v>LOAN/n</v>
      </c>
      <c r="G193" s="105" t="s">
        <v>3093</v>
      </c>
    </row>
    <row r="194" spans="1:9" x14ac:dyDescent="0.2">
      <c r="D194" s="105" t="str">
        <f>D193</f>
        <v>LOAN/n</v>
      </c>
      <c r="G194" s="105" t="s">
        <v>3094</v>
      </c>
    </row>
    <row r="195" spans="1:9" x14ac:dyDescent="0.2">
      <c r="D195" s="105" t="str">
        <f>D194</f>
        <v>LOAN/n</v>
      </c>
      <c r="G195" s="105" t="s">
        <v>3095</v>
      </c>
    </row>
    <row r="197" spans="1:9" x14ac:dyDescent="0.2">
      <c r="A197" s="92" t="s">
        <v>3102</v>
      </c>
    </row>
    <row r="199" spans="1:9" x14ac:dyDescent="0.2">
      <c r="B199" s="643" t="s">
        <v>1448</v>
      </c>
      <c r="C199" s="643" t="s">
        <v>1449</v>
      </c>
      <c r="D199" s="644" t="s">
        <v>1450</v>
      </c>
      <c r="E199" s="187" t="s">
        <v>1451</v>
      </c>
      <c r="F199" s="645" t="s">
        <v>1452</v>
      </c>
      <c r="G199" s="643" t="s">
        <v>1453</v>
      </c>
    </row>
    <row r="200" spans="1:9" x14ac:dyDescent="0.2">
      <c r="B200" s="105">
        <v>0</v>
      </c>
      <c r="C200" s="646"/>
      <c r="D200" s="646"/>
      <c r="E200" s="646"/>
      <c r="F200" s="646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647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3103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3104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3105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3106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3107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3108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3109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3110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3111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3112</v>
      </c>
    </row>
    <row r="227" spans="1:10" ht="17" thickBot="1" x14ac:dyDescent="0.25">
      <c r="A227" s="92" t="s">
        <v>3113</v>
      </c>
    </row>
    <row r="228" spans="1:10" x14ac:dyDescent="0.2">
      <c r="A228" s="92" t="s">
        <v>3114</v>
      </c>
      <c r="H228" s="103" t="s">
        <v>3121</v>
      </c>
      <c r="I228" s="96" t="s">
        <v>3117</v>
      </c>
      <c r="J228" s="97"/>
    </row>
    <row r="229" spans="1:10" ht="17" thickBot="1" x14ac:dyDescent="0.25">
      <c r="H229" s="100"/>
      <c r="I229" s="101" t="s">
        <v>3119</v>
      </c>
      <c r="J229" s="102"/>
    </row>
    <row r="230" spans="1:10" x14ac:dyDescent="0.2">
      <c r="B230" s="110" t="s">
        <v>1448</v>
      </c>
      <c r="C230" s="110" t="s">
        <v>3115</v>
      </c>
      <c r="D230" s="110" t="s">
        <v>1450</v>
      </c>
      <c r="E230" s="110" t="s">
        <v>1451</v>
      </c>
      <c r="F230" s="110" t="s">
        <v>1452</v>
      </c>
      <c r="G230" s="110" t="s">
        <v>3116</v>
      </c>
    </row>
    <row r="231" spans="1:10" x14ac:dyDescent="0.2">
      <c r="B231" s="105">
        <v>0</v>
      </c>
      <c r="C231" s="646"/>
      <c r="D231" s="646"/>
      <c r="E231" s="646"/>
      <c r="F231" s="646"/>
      <c r="G231" s="105">
        <v>5000</v>
      </c>
      <c r="H231" s="92" t="s">
        <v>3122</v>
      </c>
      <c r="I231" s="92" t="s">
        <v>3118</v>
      </c>
    </row>
    <row r="232" spans="1:10" x14ac:dyDescent="0.2">
      <c r="B232" s="105">
        <v>1</v>
      </c>
      <c r="C232" s="105">
        <f>G231</f>
        <v>5000</v>
      </c>
      <c r="D232" s="621">
        <f>5000/(3*12)</f>
        <v>138.88888888888889</v>
      </c>
      <c r="E232" s="105">
        <f>1%*C232</f>
        <v>50</v>
      </c>
      <c r="F232" s="621">
        <f>D232+E232</f>
        <v>188.88888888888889</v>
      </c>
      <c r="G232" s="621">
        <f>G231-D232</f>
        <v>4861.1111111111113</v>
      </c>
      <c r="I232" s="92" t="s">
        <v>3120</v>
      </c>
    </row>
    <row r="233" spans="1:10" x14ac:dyDescent="0.2">
      <c r="B233" s="105">
        <v>2</v>
      </c>
      <c r="C233" s="621">
        <f t="shared" ref="C233:C236" si="13">G232</f>
        <v>4861.1111111111113</v>
      </c>
      <c r="D233" s="621">
        <f>D232</f>
        <v>138.88888888888889</v>
      </c>
      <c r="E233" s="621">
        <f t="shared" ref="E233:E236" si="14">1%*C233</f>
        <v>48.611111111111114</v>
      </c>
      <c r="F233" s="621">
        <f t="shared" ref="F233:F236" si="15">D233+E233</f>
        <v>187.5</v>
      </c>
      <c r="G233" s="621">
        <f>G232-D233</f>
        <v>4722.2222222222226</v>
      </c>
    </row>
    <row r="234" spans="1:10" x14ac:dyDescent="0.2">
      <c r="B234" s="105">
        <v>3</v>
      </c>
      <c r="C234" s="621">
        <f t="shared" si="13"/>
        <v>4722.2222222222226</v>
      </c>
      <c r="D234" s="621">
        <f t="shared" ref="D234:D236" si="16">D233</f>
        <v>138.88888888888889</v>
      </c>
      <c r="E234" s="621">
        <f t="shared" si="14"/>
        <v>47.222222222222229</v>
      </c>
      <c r="F234" s="621">
        <f t="shared" si="15"/>
        <v>186.11111111111111</v>
      </c>
      <c r="G234" s="621">
        <f t="shared" ref="G234:G236" si="17">G233-D234</f>
        <v>4583.3333333333339</v>
      </c>
    </row>
    <row r="235" spans="1:10" x14ac:dyDescent="0.2">
      <c r="B235" s="105">
        <v>4</v>
      </c>
      <c r="C235" s="621">
        <f t="shared" si="13"/>
        <v>4583.3333333333339</v>
      </c>
      <c r="D235" s="621">
        <f t="shared" si="16"/>
        <v>138.88888888888889</v>
      </c>
      <c r="E235" s="621">
        <f t="shared" si="14"/>
        <v>45.833333333333343</v>
      </c>
      <c r="F235" s="621">
        <f t="shared" si="15"/>
        <v>184.72222222222223</v>
      </c>
      <c r="G235" s="621">
        <f t="shared" si="17"/>
        <v>4444.4444444444453</v>
      </c>
    </row>
    <row r="236" spans="1:10" x14ac:dyDescent="0.2">
      <c r="B236" s="105">
        <v>5</v>
      </c>
      <c r="C236" s="621">
        <f t="shared" si="13"/>
        <v>4444.4444444444453</v>
      </c>
      <c r="D236" s="621">
        <f t="shared" si="16"/>
        <v>138.88888888888889</v>
      </c>
      <c r="E236" s="621">
        <f t="shared" si="14"/>
        <v>44.44444444444445</v>
      </c>
      <c r="F236" s="621">
        <f t="shared" si="15"/>
        <v>183.33333333333334</v>
      </c>
      <c r="G236" s="621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3123</v>
      </c>
      <c r="E238" s="92" t="s">
        <v>3129</v>
      </c>
    </row>
    <row r="239" spans="1:10" x14ac:dyDescent="0.2">
      <c r="D239" s="92" t="s">
        <v>3124</v>
      </c>
      <c r="E239" s="92" t="s">
        <v>3130</v>
      </c>
    </row>
    <row r="240" spans="1:10" x14ac:dyDescent="0.2">
      <c r="D240" s="92" t="s">
        <v>1505</v>
      </c>
    </row>
    <row r="241" spans="1:8" x14ac:dyDescent="0.2">
      <c r="D241" s="92" t="s">
        <v>3125</v>
      </c>
    </row>
    <row r="242" spans="1:8" x14ac:dyDescent="0.2">
      <c r="D242" s="92" t="s">
        <v>3126</v>
      </c>
    </row>
    <row r="243" spans="1:8" x14ac:dyDescent="0.2">
      <c r="D243" s="93" t="s">
        <v>3127</v>
      </c>
    </row>
    <row r="244" spans="1:8" x14ac:dyDescent="0.2">
      <c r="D244" s="92" t="s">
        <v>3128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452" t="s">
        <v>1523</v>
      </c>
      <c r="H259" s="453"/>
      <c r="I259" s="453"/>
      <c r="J259" s="454">
        <f>C262</f>
        <v>3.0000000000000027E-2</v>
      </c>
      <c r="K259" s="455" t="s">
        <v>87</v>
      </c>
    </row>
    <row r="260" spans="1:11" x14ac:dyDescent="0.2">
      <c r="G260" s="456" t="s">
        <v>1524</v>
      </c>
      <c r="H260" s="457"/>
      <c r="I260" s="457"/>
      <c r="J260" s="457">
        <v>12</v>
      </c>
      <c r="K260" s="458" t="s">
        <v>89</v>
      </c>
    </row>
    <row r="261" spans="1:11" x14ac:dyDescent="0.2">
      <c r="G261" s="456" t="s">
        <v>1505</v>
      </c>
      <c r="H261" s="457"/>
      <c r="I261" s="457"/>
      <c r="J261" s="457">
        <v>500000</v>
      </c>
      <c r="K261" s="458" t="s">
        <v>281</v>
      </c>
    </row>
    <row r="262" spans="1:11" x14ac:dyDescent="0.2">
      <c r="C262" s="451">
        <f>1.12550881^0.25-1</f>
        <v>3.0000000000000027E-2</v>
      </c>
      <c r="G262" s="456" t="s">
        <v>1525</v>
      </c>
      <c r="H262" s="457"/>
      <c r="I262" s="457"/>
      <c r="J262" s="463">
        <f>PMT(J259,J260,J261,J263)</f>
        <v>-50231.042736481526</v>
      </c>
      <c r="K262" s="458" t="s">
        <v>91</v>
      </c>
    </row>
    <row r="263" spans="1:11" ht="17" thickBot="1" x14ac:dyDescent="0.25">
      <c r="G263" s="459" t="s">
        <v>1526</v>
      </c>
      <c r="H263" s="460"/>
      <c r="I263" s="460"/>
      <c r="J263" s="460">
        <v>0</v>
      </c>
      <c r="K263" s="461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462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49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464">
        <f t="shared" ref="C342:C346" si="33">G341</f>
        <v>431842.30688549508</v>
      </c>
      <c r="D342" s="109">
        <f t="shared" ref="D342:D346" si="34">F342-E342</f>
        <v>73610.308563665312</v>
      </c>
      <c r="E342" s="464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464">
        <f t="shared" si="33"/>
        <v>358231.99832182977</v>
      </c>
      <c r="D343" s="109">
        <f t="shared" si="34"/>
        <v>79499.133248758531</v>
      </c>
      <c r="E343" s="464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464">
        <f t="shared" si="33"/>
        <v>278732.86507307121</v>
      </c>
      <c r="D344" s="109">
        <f t="shared" si="34"/>
        <v>85859.063908659213</v>
      </c>
      <c r="E344" s="464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464">
        <f t="shared" si="33"/>
        <v>192873.801164412</v>
      </c>
      <c r="D345" s="109">
        <f t="shared" si="34"/>
        <v>92727.789021351957</v>
      </c>
      <c r="E345" s="464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464">
        <f t="shared" si="33"/>
        <v>100146.01214306004</v>
      </c>
      <c r="D346" s="109">
        <f t="shared" si="34"/>
        <v>100146.01214306011</v>
      </c>
      <c r="E346" s="464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465">
        <f>PV(F348,F349,F351,F352)</f>
        <v>278732.86507307144</v>
      </c>
      <c r="G350" s="92" t="s">
        <v>281</v>
      </c>
    </row>
    <row r="351" spans="1:7" x14ac:dyDescent="0.2">
      <c r="F351" s="249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49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465">
        <f>PV(D387,D388,D390,D391)</f>
        <v>72374.730254216411</v>
      </c>
      <c r="E389" s="92" t="s">
        <v>281</v>
      </c>
    </row>
    <row r="390" spans="1:5" x14ac:dyDescent="0.2">
      <c r="D390" s="249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2560</v>
      </c>
    </row>
    <row r="411" spans="1:8" x14ac:dyDescent="0.2">
      <c r="A411" s="92" t="s">
        <v>2561</v>
      </c>
      <c r="G411" s="92" t="s">
        <v>2557</v>
      </c>
    </row>
    <row r="412" spans="1:8" x14ac:dyDescent="0.2">
      <c r="A412" s="92" t="s">
        <v>2562</v>
      </c>
    </row>
    <row r="413" spans="1:8" x14ac:dyDescent="0.2">
      <c r="A413" s="92" t="s">
        <v>2568</v>
      </c>
      <c r="G413" s="92" t="s">
        <v>2563</v>
      </c>
    </row>
    <row r="415" spans="1:8" x14ac:dyDescent="0.2">
      <c r="A415" s="92" t="s">
        <v>1071</v>
      </c>
      <c r="B415" s="92" t="s">
        <v>1578</v>
      </c>
      <c r="D415" s="466">
        <f>150000/7</f>
        <v>21428.571428571428</v>
      </c>
      <c r="E415" s="92" t="s">
        <v>1579</v>
      </c>
      <c r="G415" s="92" t="s">
        <v>2564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466">
        <f>D415*D416</f>
        <v>85714.28571428571</v>
      </c>
      <c r="F417" s="92" t="s">
        <v>1582</v>
      </c>
      <c r="G417" s="92" t="s">
        <v>2565</v>
      </c>
    </row>
    <row r="419" spans="1:7" x14ac:dyDescent="0.2">
      <c r="B419" s="92" t="s">
        <v>1583</v>
      </c>
      <c r="D419" s="109">
        <v>150000</v>
      </c>
      <c r="G419" s="92" t="s">
        <v>2566</v>
      </c>
    </row>
    <row r="420" spans="1:7" x14ac:dyDescent="0.2">
      <c r="B420" s="92" t="s">
        <v>1584</v>
      </c>
      <c r="D420" s="466">
        <f>D417</f>
        <v>85714.28571428571</v>
      </c>
      <c r="G420" s="92" t="s">
        <v>2565</v>
      </c>
    </row>
    <row r="421" spans="1:7" x14ac:dyDescent="0.2">
      <c r="B421" s="92" t="s">
        <v>1585</v>
      </c>
      <c r="D421" s="467">
        <f>D419-D420</f>
        <v>64285.71428571429</v>
      </c>
      <c r="G421" s="92" t="s">
        <v>2567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466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466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466">
        <f>D428</f>
        <v>128571.42857142857</v>
      </c>
    </row>
    <row r="432" spans="1:7" x14ac:dyDescent="0.2">
      <c r="B432" s="92" t="s">
        <v>1588</v>
      </c>
      <c r="D432" s="468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467">
        <f>D432*D434</f>
        <v>1285.714285714286</v>
      </c>
      <c r="E436" s="92" t="s">
        <v>316</v>
      </c>
    </row>
    <row r="438" spans="1:8" x14ac:dyDescent="0.2">
      <c r="A438" s="92" t="s">
        <v>2569</v>
      </c>
      <c r="C438" s="593">
        <f>(150000-150000/7*6)*6%</f>
        <v>1285.714285714286</v>
      </c>
    </row>
    <row r="440" spans="1:8" x14ac:dyDescent="0.2">
      <c r="A440" s="92" t="s">
        <v>2570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49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465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49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268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268">
        <f>C493</f>
        <v>525505.02504999994</v>
      </c>
      <c r="E499" s="92" t="s">
        <v>281</v>
      </c>
    </row>
    <row r="500" spans="4:6" x14ac:dyDescent="0.2">
      <c r="D500" s="249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306"/>
  <sheetViews>
    <sheetView showGridLines="0" rightToLeft="1" topLeftCell="A102" zoomScale="300" zoomScaleNormal="300" workbookViewId="0">
      <selection activeCell="C308" sqref="C308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10" t="s">
        <v>3131</v>
      </c>
      <c r="B1" s="710"/>
      <c r="C1" s="710"/>
      <c r="D1" s="710"/>
      <c r="E1" s="710"/>
      <c r="F1" s="710"/>
      <c r="G1" s="710"/>
      <c r="H1" s="710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2573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2572</v>
      </c>
    </row>
    <row r="37" spans="1:8" x14ac:dyDescent="0.2">
      <c r="A37" s="43" t="s">
        <v>2574</v>
      </c>
    </row>
    <row r="38" spans="1:8" x14ac:dyDescent="0.2">
      <c r="A38" s="43" t="s">
        <v>2571</v>
      </c>
    </row>
    <row r="40" spans="1:8" x14ac:dyDescent="0.2">
      <c r="A40" s="44" t="s">
        <v>111</v>
      </c>
    </row>
    <row r="41" spans="1:8" x14ac:dyDescent="0.2">
      <c r="A41" s="44" t="s">
        <v>3132</v>
      </c>
    </row>
    <row r="42" spans="1:8" x14ac:dyDescent="0.2">
      <c r="A42" s="43" t="s">
        <v>2575</v>
      </c>
    </row>
    <row r="43" spans="1:8" x14ac:dyDescent="0.2">
      <c r="A43" s="43" t="s">
        <v>2576</v>
      </c>
    </row>
    <row r="44" spans="1:8" x14ac:dyDescent="0.2">
      <c r="A44" s="43" t="s">
        <v>2577</v>
      </c>
    </row>
    <row r="45" spans="1:8" x14ac:dyDescent="0.2">
      <c r="A45" s="43" t="s">
        <v>2578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2579</v>
      </c>
    </row>
    <row r="52" spans="1:8" x14ac:dyDescent="0.2">
      <c r="A52" s="43" t="s">
        <v>2580</v>
      </c>
    </row>
    <row r="53" spans="1:8" x14ac:dyDescent="0.2">
      <c r="A53" s="43" t="s">
        <v>2581</v>
      </c>
    </row>
    <row r="54" spans="1:8" x14ac:dyDescent="0.2">
      <c r="A54" s="43" t="s">
        <v>2582</v>
      </c>
    </row>
    <row r="55" spans="1:8" x14ac:dyDescent="0.2">
      <c r="A55" s="43" t="s">
        <v>2583</v>
      </c>
    </row>
    <row r="56" spans="1:8" x14ac:dyDescent="0.2">
      <c r="A56" s="43" t="s">
        <v>2584</v>
      </c>
    </row>
    <row r="58" spans="1:8" x14ac:dyDescent="0.2">
      <c r="A58" s="43" t="s">
        <v>2585</v>
      </c>
    </row>
    <row r="59" spans="1:8" x14ac:dyDescent="0.2">
      <c r="A59" s="43" t="s">
        <v>2586</v>
      </c>
    </row>
    <row r="61" spans="1:8" x14ac:dyDescent="0.2">
      <c r="A61" s="44" t="s">
        <v>2587</v>
      </c>
      <c r="B61" s="44"/>
      <c r="C61" s="44"/>
      <c r="D61" s="44"/>
      <c r="E61" s="44"/>
      <c r="F61" s="44"/>
    </row>
    <row r="62" spans="1:8" x14ac:dyDescent="0.2">
      <c r="A62" s="44" t="s">
        <v>2588</v>
      </c>
      <c r="B62" s="44"/>
      <c r="C62" s="44"/>
      <c r="D62" s="44"/>
      <c r="E62" s="44"/>
      <c r="F62" s="44" t="s">
        <v>2589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469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471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471">
        <f>F66</f>
        <v>150000</v>
      </c>
      <c r="C67" s="471">
        <f>E67-D67</f>
        <v>7096.3909810507521</v>
      </c>
      <c r="D67" s="471">
        <f>H$68*B67</f>
        <v>1500</v>
      </c>
      <c r="E67" s="471">
        <f>-PMT(1%,12,150000,-60000)</f>
        <v>8596.3909810507521</v>
      </c>
      <c r="F67" s="471">
        <f>B67-C67</f>
        <v>142903.60901894924</v>
      </c>
    </row>
    <row r="68" spans="1:10" ht="16" x14ac:dyDescent="0.2">
      <c r="A68" s="184">
        <f t="shared" ref="A68:A78" si="0">A67+1</f>
        <v>2</v>
      </c>
      <c r="B68" s="471">
        <f t="shared" ref="B68:B78" si="1">F67</f>
        <v>142903.60901894924</v>
      </c>
      <c r="C68" s="471">
        <f t="shared" ref="C68:C78" si="2">E68-D68</f>
        <v>7167.3548908612593</v>
      </c>
      <c r="D68" s="471">
        <f t="shared" ref="D68:D78" si="3">H$68*B68</f>
        <v>1429.0360901894924</v>
      </c>
      <c r="E68" s="471">
        <f>E67</f>
        <v>8596.3909810507521</v>
      </c>
      <c r="F68" s="471">
        <f t="shared" ref="F68:F78" si="4">B68-C68</f>
        <v>135736.25412808798</v>
      </c>
      <c r="H68" s="596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471">
        <f t="shared" si="1"/>
        <v>135736.25412808798</v>
      </c>
      <c r="C69" s="471">
        <f t="shared" si="2"/>
        <v>7239.0284397698724</v>
      </c>
      <c r="D69" s="471">
        <f t="shared" si="3"/>
        <v>1357.3625412808799</v>
      </c>
      <c r="E69" s="471">
        <f>E68</f>
        <v>8596.3909810507521</v>
      </c>
      <c r="F69" s="471">
        <f t="shared" si="4"/>
        <v>128497.22568831811</v>
      </c>
      <c r="G69" s="43" t="s">
        <v>2590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471">
        <f t="shared" si="1"/>
        <v>128497.22568831811</v>
      </c>
      <c r="C70" s="471">
        <f t="shared" si="2"/>
        <v>7311.4187241675709</v>
      </c>
      <c r="D70" s="471">
        <f t="shared" si="3"/>
        <v>1284.9722568831812</v>
      </c>
      <c r="E70" s="471">
        <f>E69</f>
        <v>8596.3909810507521</v>
      </c>
      <c r="F70" s="471">
        <f t="shared" si="4"/>
        <v>121185.80696415054</v>
      </c>
      <c r="G70" s="43" t="s">
        <v>2120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471">
        <f t="shared" si="1"/>
        <v>121185.80696415054</v>
      </c>
      <c r="C71" s="471">
        <f t="shared" si="2"/>
        <v>7384.5329114092465</v>
      </c>
      <c r="D71" s="471">
        <f t="shared" si="3"/>
        <v>1211.8580696415054</v>
      </c>
      <c r="E71" s="471">
        <f t="shared" ref="E71:E77" si="5">E70</f>
        <v>8596.3909810507521</v>
      </c>
      <c r="F71" s="471">
        <f t="shared" si="4"/>
        <v>113801.2740527413</v>
      </c>
      <c r="G71" s="256"/>
      <c r="H71" s="445">
        <f>PMT(H68,H69,H70,H72)</f>
        <v>-8596.3909810507521</v>
      </c>
      <c r="I71" s="256" t="s">
        <v>91</v>
      </c>
      <c r="J71" s="256"/>
    </row>
    <row r="72" spans="1:10" ht="16" x14ac:dyDescent="0.2">
      <c r="A72" s="184">
        <f t="shared" si="0"/>
        <v>6</v>
      </c>
      <c r="B72" s="471">
        <f t="shared" si="1"/>
        <v>113801.2740527413</v>
      </c>
      <c r="C72" s="471">
        <f t="shared" si="2"/>
        <v>7458.3782405233396</v>
      </c>
      <c r="D72" s="471">
        <f t="shared" si="3"/>
        <v>1138.0127405274129</v>
      </c>
      <c r="E72" s="471">
        <f t="shared" si="5"/>
        <v>8596.3909810507521</v>
      </c>
      <c r="F72" s="471">
        <f t="shared" si="4"/>
        <v>106342.89581221796</v>
      </c>
      <c r="G72" s="43" t="s">
        <v>2591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471">
        <f t="shared" si="1"/>
        <v>106342.89581221796</v>
      </c>
      <c r="C73" s="471">
        <f t="shared" si="2"/>
        <v>7532.962022928572</v>
      </c>
      <c r="D73" s="471">
        <f t="shared" si="3"/>
        <v>1063.4289581221797</v>
      </c>
      <c r="E73" s="471">
        <f t="shared" si="5"/>
        <v>8596.3909810507521</v>
      </c>
      <c r="F73" s="471">
        <f t="shared" si="4"/>
        <v>98809.933789289382</v>
      </c>
    </row>
    <row r="74" spans="1:10" ht="16" x14ac:dyDescent="0.2">
      <c r="A74" s="184">
        <f t="shared" si="0"/>
        <v>8</v>
      </c>
      <c r="B74" s="471">
        <f t="shared" si="1"/>
        <v>98809.933789289382</v>
      </c>
      <c r="C74" s="471">
        <f t="shared" si="2"/>
        <v>7608.2916431578578</v>
      </c>
      <c r="D74" s="471">
        <f t="shared" si="3"/>
        <v>988.0993378928938</v>
      </c>
      <c r="E74" s="471">
        <f t="shared" si="5"/>
        <v>8596.3909810507521</v>
      </c>
      <c r="F74" s="471">
        <f t="shared" si="4"/>
        <v>91201.642146131519</v>
      </c>
    </row>
    <row r="75" spans="1:10" ht="16" x14ac:dyDescent="0.2">
      <c r="A75" s="184">
        <f t="shared" si="0"/>
        <v>9</v>
      </c>
      <c r="B75" s="471">
        <f t="shared" si="1"/>
        <v>91201.642146131519</v>
      </c>
      <c r="C75" s="471">
        <f t="shared" si="2"/>
        <v>7684.374559589437</v>
      </c>
      <c r="D75" s="471">
        <f t="shared" si="3"/>
        <v>912.01642146131519</v>
      </c>
      <c r="E75" s="471">
        <f t="shared" si="5"/>
        <v>8596.3909810507521</v>
      </c>
      <c r="F75" s="471">
        <f t="shared" si="4"/>
        <v>83517.267586542075</v>
      </c>
    </row>
    <row r="76" spans="1:10" ht="16" x14ac:dyDescent="0.2">
      <c r="A76" s="184">
        <f t="shared" si="0"/>
        <v>10</v>
      </c>
      <c r="B76" s="471">
        <f t="shared" si="1"/>
        <v>83517.267586542075</v>
      </c>
      <c r="C76" s="471">
        <f t="shared" si="2"/>
        <v>7761.2183051853317</v>
      </c>
      <c r="D76" s="471">
        <f t="shared" si="3"/>
        <v>835.17267586542073</v>
      </c>
      <c r="E76" s="471">
        <f t="shared" si="5"/>
        <v>8596.3909810507521</v>
      </c>
      <c r="F76" s="471">
        <f t="shared" si="4"/>
        <v>75756.04928135674</v>
      </c>
    </row>
    <row r="77" spans="1:10" ht="16" x14ac:dyDescent="0.2">
      <c r="A77" s="184">
        <f t="shared" si="0"/>
        <v>11</v>
      </c>
      <c r="B77" s="471">
        <f t="shared" si="1"/>
        <v>75756.04928135674</v>
      </c>
      <c r="C77" s="471">
        <f t="shared" si="2"/>
        <v>7838.8304882371849</v>
      </c>
      <c r="D77" s="471">
        <f t="shared" si="3"/>
        <v>757.56049281356741</v>
      </c>
      <c r="E77" s="471">
        <f t="shared" si="5"/>
        <v>8596.3909810507521</v>
      </c>
      <c r="F77" s="471">
        <f t="shared" si="4"/>
        <v>67917.218793119551</v>
      </c>
    </row>
    <row r="78" spans="1:10" ht="16" x14ac:dyDescent="0.2">
      <c r="A78" s="184">
        <f t="shared" si="0"/>
        <v>12</v>
      </c>
      <c r="B78" s="471">
        <f t="shared" si="1"/>
        <v>67917.218793119551</v>
      </c>
      <c r="C78" s="471">
        <f t="shared" si="2"/>
        <v>67917.218793119551</v>
      </c>
      <c r="D78" s="471">
        <f t="shared" si="3"/>
        <v>679.17218793119548</v>
      </c>
      <c r="E78" s="472">
        <f>E77+60000</f>
        <v>68596.390981050747</v>
      </c>
      <c r="F78" s="471">
        <f t="shared" si="4"/>
        <v>0</v>
      </c>
    </row>
    <row r="79" spans="1:10" x14ac:dyDescent="0.2">
      <c r="A79" s="44"/>
    </row>
    <row r="80" spans="1:10" x14ac:dyDescent="0.2">
      <c r="A80" s="43" t="s">
        <v>2592</v>
      </c>
    </row>
    <row r="82" spans="1:8" x14ac:dyDescent="0.2">
      <c r="A82" s="648" t="s">
        <v>2593</v>
      </c>
      <c r="B82" s="649"/>
      <c r="C82" s="649"/>
      <c r="D82" s="649"/>
      <c r="E82" s="649"/>
      <c r="F82" s="650"/>
    </row>
    <row r="83" spans="1:8" x14ac:dyDescent="0.2">
      <c r="A83" s="651" t="s">
        <v>1649</v>
      </c>
      <c r="B83" s="652"/>
      <c r="C83" s="652"/>
      <c r="D83" s="652"/>
      <c r="E83" s="652"/>
      <c r="F83" s="653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2596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3133</v>
      </c>
    </row>
    <row r="90" spans="1:8" x14ac:dyDescent="0.2">
      <c r="A90" s="43" t="s">
        <v>321</v>
      </c>
    </row>
    <row r="91" spans="1:8" x14ac:dyDescent="0.2">
      <c r="A91" s="43" t="s">
        <v>1651</v>
      </c>
    </row>
    <row r="92" spans="1:8" x14ac:dyDescent="0.2">
      <c r="A92" s="43" t="s">
        <v>1652</v>
      </c>
    </row>
    <row r="93" spans="1:8" x14ac:dyDescent="0.2">
      <c r="A93" s="43" t="s">
        <v>1653</v>
      </c>
    </row>
    <row r="94" spans="1:8" x14ac:dyDescent="0.2">
      <c r="A94" s="43" t="s">
        <v>1654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9" x14ac:dyDescent="0.2">
      <c r="A97" s="79" t="s">
        <v>2594</v>
      </c>
    </row>
    <row r="98" spans="1:9" x14ac:dyDescent="0.2">
      <c r="A98" s="43" t="s">
        <v>2595</v>
      </c>
    </row>
    <row r="100" spans="1:9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  <c r="G100" s="407" t="s">
        <v>3136</v>
      </c>
    </row>
    <row r="101" spans="1:9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  <c r="H101" s="407" t="s">
        <v>3135</v>
      </c>
      <c r="I101" s="407" t="s">
        <v>3134</v>
      </c>
    </row>
    <row r="102" spans="1:9" ht="16" x14ac:dyDescent="0.2">
      <c r="A102" s="184">
        <v>0</v>
      </c>
      <c r="B102" s="594"/>
      <c r="C102" s="594"/>
      <c r="D102" s="594"/>
      <c r="E102" s="594"/>
      <c r="F102" s="471">
        <v>100000</v>
      </c>
    </row>
    <row r="103" spans="1:9" ht="16" x14ac:dyDescent="0.2">
      <c r="A103" s="184">
        <f>A102+1</f>
        <v>1</v>
      </c>
      <c r="B103" s="471">
        <f>F102</f>
        <v>100000</v>
      </c>
      <c r="C103" s="471">
        <f>F102/10</f>
        <v>10000</v>
      </c>
      <c r="D103" s="471">
        <f>7%*B103</f>
        <v>7000.0000000000009</v>
      </c>
      <c r="E103" s="471">
        <f>C103+D103</f>
        <v>17000</v>
      </c>
      <c r="F103" s="471">
        <f>B103-C103</f>
        <v>90000</v>
      </c>
    </row>
    <row r="104" spans="1:9" ht="16" x14ac:dyDescent="0.2">
      <c r="A104" s="184">
        <f t="shared" ref="A104:A112" si="6">A103+1</f>
        <v>2</v>
      </c>
      <c r="B104" s="471">
        <f t="shared" ref="B104:B112" si="7">F103</f>
        <v>90000</v>
      </c>
      <c r="C104" s="471">
        <f>C103</f>
        <v>10000</v>
      </c>
      <c r="D104" s="471">
        <f t="shared" ref="D104:D112" si="8">7%*B104</f>
        <v>6300.0000000000009</v>
      </c>
      <c r="E104" s="471">
        <f t="shared" ref="E104:E112" si="9">C104+D104</f>
        <v>16300</v>
      </c>
      <c r="F104" s="471">
        <f t="shared" ref="F104:F112" si="10">B104-C104</f>
        <v>80000</v>
      </c>
    </row>
    <row r="105" spans="1:9" ht="16" x14ac:dyDescent="0.2">
      <c r="A105" s="184">
        <f t="shared" si="6"/>
        <v>3</v>
      </c>
      <c r="B105" s="471">
        <f t="shared" si="7"/>
        <v>80000</v>
      </c>
      <c r="C105" s="471">
        <f t="shared" ref="C105:C112" si="11">C104</f>
        <v>10000</v>
      </c>
      <c r="D105" s="595">
        <f t="shared" si="8"/>
        <v>5600.0000000000009</v>
      </c>
      <c r="E105" s="471">
        <f t="shared" si="9"/>
        <v>15600</v>
      </c>
      <c r="F105" s="471">
        <f t="shared" si="10"/>
        <v>70000</v>
      </c>
    </row>
    <row r="106" spans="1:9" ht="16" x14ac:dyDescent="0.2">
      <c r="A106" s="184">
        <f t="shared" si="6"/>
        <v>4</v>
      </c>
      <c r="B106" s="471">
        <f t="shared" si="7"/>
        <v>70000</v>
      </c>
      <c r="C106" s="471">
        <f t="shared" si="11"/>
        <v>10000</v>
      </c>
      <c r="D106" s="471">
        <f t="shared" si="8"/>
        <v>4900.0000000000009</v>
      </c>
      <c r="E106" s="471">
        <f t="shared" si="9"/>
        <v>14900</v>
      </c>
      <c r="F106" s="471">
        <f t="shared" si="10"/>
        <v>60000</v>
      </c>
    </row>
    <row r="107" spans="1:9" ht="16" x14ac:dyDescent="0.2">
      <c r="A107" s="184">
        <f t="shared" si="6"/>
        <v>5</v>
      </c>
      <c r="B107" s="471">
        <f t="shared" si="7"/>
        <v>60000</v>
      </c>
      <c r="C107" s="471">
        <f t="shared" si="11"/>
        <v>10000</v>
      </c>
      <c r="D107" s="471">
        <f t="shared" si="8"/>
        <v>4200</v>
      </c>
      <c r="E107" s="471">
        <f t="shared" si="9"/>
        <v>14200</v>
      </c>
      <c r="F107" s="471">
        <f t="shared" si="10"/>
        <v>50000</v>
      </c>
    </row>
    <row r="108" spans="1:9" ht="16" x14ac:dyDescent="0.2">
      <c r="A108" s="184">
        <f t="shared" si="6"/>
        <v>6</v>
      </c>
      <c r="B108" s="471">
        <f t="shared" si="7"/>
        <v>50000</v>
      </c>
      <c r="C108" s="471">
        <f t="shared" si="11"/>
        <v>10000</v>
      </c>
      <c r="D108" s="471">
        <f t="shared" si="8"/>
        <v>3500.0000000000005</v>
      </c>
      <c r="E108" s="471">
        <f t="shared" si="9"/>
        <v>13500</v>
      </c>
      <c r="F108" s="471">
        <f t="shared" si="10"/>
        <v>40000</v>
      </c>
    </row>
    <row r="109" spans="1:9" ht="16" x14ac:dyDescent="0.2">
      <c r="A109" s="184">
        <f t="shared" si="6"/>
        <v>7</v>
      </c>
      <c r="B109" s="471">
        <f t="shared" si="7"/>
        <v>40000</v>
      </c>
      <c r="C109" s="471">
        <f t="shared" si="11"/>
        <v>10000</v>
      </c>
      <c r="D109" s="595">
        <f t="shared" si="8"/>
        <v>2800.0000000000005</v>
      </c>
      <c r="E109" s="471">
        <f t="shared" si="9"/>
        <v>12800</v>
      </c>
      <c r="F109" s="471">
        <f t="shared" si="10"/>
        <v>30000</v>
      </c>
    </row>
    <row r="110" spans="1:9" ht="16" x14ac:dyDescent="0.2">
      <c r="A110" s="184">
        <f t="shared" si="6"/>
        <v>8</v>
      </c>
      <c r="B110" s="471">
        <f t="shared" si="7"/>
        <v>30000</v>
      </c>
      <c r="C110" s="471">
        <f t="shared" si="11"/>
        <v>10000</v>
      </c>
      <c r="D110" s="471">
        <f t="shared" si="8"/>
        <v>2100</v>
      </c>
      <c r="E110" s="595">
        <f t="shared" si="9"/>
        <v>12100</v>
      </c>
      <c r="F110" s="471">
        <f t="shared" si="10"/>
        <v>20000</v>
      </c>
    </row>
    <row r="111" spans="1:9" ht="16" x14ac:dyDescent="0.2">
      <c r="A111" s="184">
        <f t="shared" si="6"/>
        <v>9</v>
      </c>
      <c r="B111" s="471">
        <f t="shared" si="7"/>
        <v>20000</v>
      </c>
      <c r="C111" s="471">
        <f t="shared" si="11"/>
        <v>10000</v>
      </c>
      <c r="D111" s="471">
        <f t="shared" si="8"/>
        <v>1400.0000000000002</v>
      </c>
      <c r="E111" s="471">
        <f t="shared" si="9"/>
        <v>11400</v>
      </c>
      <c r="F111" s="471">
        <f t="shared" si="10"/>
        <v>10000</v>
      </c>
    </row>
    <row r="112" spans="1:9" ht="16" x14ac:dyDescent="0.2">
      <c r="A112" s="184">
        <f t="shared" si="6"/>
        <v>10</v>
      </c>
      <c r="B112" s="471">
        <f t="shared" si="7"/>
        <v>10000</v>
      </c>
      <c r="C112" s="471">
        <f t="shared" si="11"/>
        <v>10000</v>
      </c>
      <c r="D112" s="471">
        <f t="shared" si="8"/>
        <v>700.00000000000011</v>
      </c>
      <c r="E112" s="471">
        <f t="shared" si="9"/>
        <v>10700</v>
      </c>
      <c r="F112" s="471">
        <f t="shared" si="10"/>
        <v>0</v>
      </c>
    </row>
    <row r="114" spans="1:10" x14ac:dyDescent="0.2">
      <c r="A114" s="185" t="s">
        <v>1657</v>
      </c>
      <c r="B114" s="87"/>
      <c r="C114" s="87"/>
    </row>
    <row r="115" spans="1:10" x14ac:dyDescent="0.2">
      <c r="H115" s="47" t="s">
        <v>1467</v>
      </c>
      <c r="I115" s="47" t="s">
        <v>1655</v>
      </c>
      <c r="J115" s="47" t="s">
        <v>1656</v>
      </c>
    </row>
    <row r="116" spans="1:10" x14ac:dyDescent="0.2">
      <c r="A116" s="43" t="s">
        <v>1658</v>
      </c>
    </row>
    <row r="118" spans="1:10" x14ac:dyDescent="0.2">
      <c r="A118" s="43" t="s">
        <v>1659</v>
      </c>
    </row>
    <row r="120" spans="1:10" x14ac:dyDescent="0.2">
      <c r="A120" s="43" t="s">
        <v>1660</v>
      </c>
    </row>
    <row r="122" spans="1:10" x14ac:dyDescent="0.2">
      <c r="A122" s="43" t="s">
        <v>1661</v>
      </c>
    </row>
    <row r="125" spans="1:10" x14ac:dyDescent="0.2">
      <c r="A125" s="185" t="s">
        <v>1662</v>
      </c>
    </row>
    <row r="128" spans="1:10" x14ac:dyDescent="0.2">
      <c r="C128" s="720">
        <f>7%*30000+10000</f>
        <v>12100</v>
      </c>
    </row>
    <row r="129" spans="1:8" x14ac:dyDescent="0.2">
      <c r="C129" s="720"/>
    </row>
    <row r="131" spans="1:8" x14ac:dyDescent="0.2">
      <c r="A131" s="185" t="s">
        <v>1663</v>
      </c>
    </row>
    <row r="132" spans="1:8" x14ac:dyDescent="0.2">
      <c r="A132" s="43" t="s">
        <v>1664</v>
      </c>
    </row>
    <row r="138" spans="1:8" x14ac:dyDescent="0.2">
      <c r="A138" s="180" t="s">
        <v>2597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1665</v>
      </c>
    </row>
    <row r="140" spans="1:8" x14ac:dyDescent="0.2">
      <c r="A140" s="43" t="s">
        <v>1666</v>
      </c>
    </row>
    <row r="141" spans="1:8" x14ac:dyDescent="0.2">
      <c r="A141" s="43" t="s">
        <v>1667</v>
      </c>
    </row>
    <row r="142" spans="1:8" x14ac:dyDescent="0.2">
      <c r="A142" s="43" t="s">
        <v>1668</v>
      </c>
    </row>
    <row r="144" spans="1:8" x14ac:dyDescent="0.2">
      <c r="A144" s="44" t="s">
        <v>1669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1670</v>
      </c>
    </row>
    <row r="146" spans="1:6" x14ac:dyDescent="0.2">
      <c r="A146" s="43" t="s">
        <v>1671</v>
      </c>
    </row>
    <row r="148" spans="1:6" x14ac:dyDescent="0.2">
      <c r="A148" s="43" t="s">
        <v>2598</v>
      </c>
    </row>
    <row r="149" spans="1:6" x14ac:dyDescent="0.2">
      <c r="A149" s="43" t="s">
        <v>1672</v>
      </c>
    </row>
    <row r="150" spans="1:6" x14ac:dyDescent="0.2">
      <c r="A150" s="43" t="s">
        <v>1673</v>
      </c>
    </row>
    <row r="151" spans="1:6" x14ac:dyDescent="0.2">
      <c r="D151" s="256"/>
      <c r="E151" s="29" t="s">
        <v>772</v>
      </c>
    </row>
    <row r="152" spans="1:6" x14ac:dyDescent="0.2">
      <c r="D152" s="654" t="s">
        <v>1674</v>
      </c>
      <c r="E152" s="656" t="s">
        <v>1675</v>
      </c>
    </row>
    <row r="153" spans="1:6" x14ac:dyDescent="0.2">
      <c r="D153" s="655" t="s">
        <v>1676</v>
      </c>
      <c r="E153" s="655" t="s">
        <v>1677</v>
      </c>
    </row>
    <row r="154" spans="1:6" x14ac:dyDescent="0.2">
      <c r="D154" s="394">
        <f>E154</f>
        <v>0.01</v>
      </c>
      <c r="E154" s="596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61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597">
        <f>PMT(D154,D155,D156,D158)</f>
        <v>-4987.3312849437661</v>
      </c>
      <c r="E157" s="29">
        <v>0</v>
      </c>
      <c r="F157" s="43" t="s">
        <v>91</v>
      </c>
    </row>
    <row r="158" spans="1:6" x14ac:dyDescent="0.2">
      <c r="C158" s="256"/>
      <c r="D158" s="29">
        <v>0</v>
      </c>
      <c r="E158" s="445">
        <f>FV(E154,E155,E157,E156)</f>
        <v>-210202.01001999999</v>
      </c>
      <c r="F158" s="43" t="s">
        <v>105</v>
      </c>
    </row>
    <row r="160" spans="1:6" x14ac:dyDescent="0.2">
      <c r="A160" s="43" t="s">
        <v>1678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1679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1680</v>
      </c>
    </row>
    <row r="174" spans="1:8" x14ac:dyDescent="0.2">
      <c r="A174" s="43" t="s">
        <v>1681</v>
      </c>
    </row>
    <row r="175" spans="1:8" x14ac:dyDescent="0.2">
      <c r="A175" s="43" t="s">
        <v>1682</v>
      </c>
    </row>
    <row r="177" spans="1:6" x14ac:dyDescent="0.2">
      <c r="A177" s="43" t="s">
        <v>111</v>
      </c>
    </row>
    <row r="178" spans="1:6" x14ac:dyDescent="0.2">
      <c r="A178" s="43" t="s">
        <v>1683</v>
      </c>
    </row>
    <row r="179" spans="1:6" x14ac:dyDescent="0.2">
      <c r="A179" s="43" t="s">
        <v>1684</v>
      </c>
    </row>
    <row r="181" spans="1:6" x14ac:dyDescent="0.2">
      <c r="E181" s="271" t="s">
        <v>1675</v>
      </c>
    </row>
    <row r="182" spans="1:6" x14ac:dyDescent="0.2">
      <c r="E182" s="473" t="s">
        <v>1677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1685</v>
      </c>
      <c r="B187" s="67"/>
      <c r="C187" s="67"/>
      <c r="D187" s="67"/>
      <c r="E187" s="474">
        <f>FV(E183,E184,E186,E185)</f>
        <v>-210202.01001999999</v>
      </c>
      <c r="F187" s="208" t="s">
        <v>105</v>
      </c>
    </row>
    <row r="189" spans="1:6" x14ac:dyDescent="0.2">
      <c r="A189" s="43" t="s">
        <v>2599</v>
      </c>
    </row>
    <row r="191" spans="1:6" x14ac:dyDescent="0.2">
      <c r="A191" s="185" t="s">
        <v>1686</v>
      </c>
    </row>
    <row r="193" spans="1:7" x14ac:dyDescent="0.2">
      <c r="F193" s="43" t="s">
        <v>1687</v>
      </c>
    </row>
    <row r="194" spans="1:7" x14ac:dyDescent="0.2">
      <c r="A194" s="44" t="s">
        <v>196</v>
      </c>
      <c r="B194" s="44"/>
      <c r="C194" s="476">
        <f>210202*1%+210202/55</f>
        <v>5923.874545454546</v>
      </c>
      <c r="F194" s="43" t="s">
        <v>1688</v>
      </c>
    </row>
    <row r="196" spans="1:7" x14ac:dyDescent="0.2">
      <c r="D196" s="43" t="s">
        <v>2601</v>
      </c>
      <c r="F196" s="43" t="s">
        <v>2600</v>
      </c>
    </row>
    <row r="197" spans="1:7" x14ac:dyDescent="0.2">
      <c r="D197" s="43" t="s">
        <v>2602</v>
      </c>
    </row>
    <row r="199" spans="1:7" x14ac:dyDescent="0.2">
      <c r="A199" s="185" t="s">
        <v>1689</v>
      </c>
    </row>
    <row r="200" spans="1:7" x14ac:dyDescent="0.2">
      <c r="A200" s="43" t="s">
        <v>2603</v>
      </c>
    </row>
    <row r="202" spans="1:7" x14ac:dyDescent="0.2">
      <c r="F202" s="43" t="s">
        <v>1690</v>
      </c>
    </row>
    <row r="203" spans="1:7" x14ac:dyDescent="0.2">
      <c r="B203" s="475">
        <f>210202/55*52*1%+210202/55</f>
        <v>5809.2189090909096</v>
      </c>
      <c r="F203" s="43" t="s">
        <v>3137</v>
      </c>
    </row>
    <row r="205" spans="1:7" x14ac:dyDescent="0.2">
      <c r="C205" s="43" t="s">
        <v>2601</v>
      </c>
      <c r="E205" s="43" t="s">
        <v>2604</v>
      </c>
    </row>
    <row r="206" spans="1:7" x14ac:dyDescent="0.2">
      <c r="C206" s="43" t="s">
        <v>2612</v>
      </c>
      <c r="E206" s="43" t="s">
        <v>2605</v>
      </c>
    </row>
    <row r="207" spans="1:7" x14ac:dyDescent="0.2">
      <c r="C207" s="43" t="s">
        <v>2602</v>
      </c>
      <c r="E207" s="43" t="s">
        <v>2606</v>
      </c>
      <c r="G207" s="43" t="s">
        <v>2608</v>
      </c>
    </row>
    <row r="208" spans="1:7" x14ac:dyDescent="0.2">
      <c r="E208" s="43" t="s">
        <v>2607</v>
      </c>
      <c r="G208" s="43" t="s">
        <v>2609</v>
      </c>
    </row>
    <row r="209" spans="1:8" x14ac:dyDescent="0.2">
      <c r="E209" s="43" t="s">
        <v>2610</v>
      </c>
      <c r="G209" s="43" t="s">
        <v>2611</v>
      </c>
    </row>
    <row r="212" spans="1:8" x14ac:dyDescent="0.2">
      <c r="A212" s="43" t="s">
        <v>1691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1693</v>
      </c>
    </row>
    <row r="226" spans="1:7" x14ac:dyDescent="0.2">
      <c r="A226" s="43" t="s">
        <v>1694</v>
      </c>
    </row>
    <row r="227" spans="1:7" x14ac:dyDescent="0.2">
      <c r="A227" s="43" t="s">
        <v>1695</v>
      </c>
    </row>
    <row r="229" spans="1:7" x14ac:dyDescent="0.2">
      <c r="A229" s="43" t="s">
        <v>111</v>
      </c>
    </row>
    <row r="230" spans="1:7" x14ac:dyDescent="0.2">
      <c r="A230" s="43" t="s">
        <v>2613</v>
      </c>
    </row>
    <row r="231" spans="1:7" x14ac:dyDescent="0.2">
      <c r="A231" s="43" t="s">
        <v>2614</v>
      </c>
    </row>
    <row r="233" spans="1:7" ht="34" x14ac:dyDescent="0.2">
      <c r="A233" s="92"/>
      <c r="B233" s="92"/>
      <c r="C233" s="187" t="s">
        <v>1467</v>
      </c>
      <c r="D233" s="188" t="s">
        <v>1696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2566</v>
      </c>
    </row>
    <row r="236" spans="1:7" ht="16" x14ac:dyDescent="0.2">
      <c r="A236" s="184">
        <f>A235+1</f>
        <v>1</v>
      </c>
      <c r="B236" s="471"/>
      <c r="C236" s="471">
        <v>0</v>
      </c>
      <c r="D236" s="471">
        <v>0</v>
      </c>
      <c r="E236" s="471">
        <v>0</v>
      </c>
      <c r="F236" s="471"/>
    </row>
    <row r="237" spans="1:7" ht="16" x14ac:dyDescent="0.2">
      <c r="A237" s="184">
        <f t="shared" ref="A237:A241" si="18">A236+1</f>
        <v>2</v>
      </c>
      <c r="B237" s="471"/>
      <c r="C237" s="471">
        <v>0</v>
      </c>
      <c r="D237" s="471">
        <v>0</v>
      </c>
      <c r="E237" s="471">
        <v>0</v>
      </c>
      <c r="F237" s="471"/>
    </row>
    <row r="238" spans="1:7" ht="16" x14ac:dyDescent="0.2">
      <c r="A238" s="184">
        <f t="shared" si="18"/>
        <v>3</v>
      </c>
      <c r="B238" s="471"/>
      <c r="C238" s="471">
        <v>0</v>
      </c>
      <c r="D238" s="471">
        <v>0</v>
      </c>
      <c r="E238" s="471">
        <v>0</v>
      </c>
      <c r="F238" s="471"/>
    </row>
    <row r="239" spans="1:7" ht="16" x14ac:dyDescent="0.2">
      <c r="A239" s="184">
        <f t="shared" si="18"/>
        <v>4</v>
      </c>
      <c r="B239" s="471"/>
      <c r="C239" s="471">
        <v>0</v>
      </c>
      <c r="D239" s="471">
        <v>0</v>
      </c>
      <c r="E239" s="471">
        <v>0</v>
      </c>
      <c r="F239" s="471"/>
    </row>
    <row r="240" spans="1:7" ht="16" x14ac:dyDescent="0.2">
      <c r="A240" s="184">
        <f t="shared" si="18"/>
        <v>5</v>
      </c>
      <c r="B240" s="471"/>
      <c r="C240" s="471">
        <v>0</v>
      </c>
      <c r="D240" s="471">
        <v>0</v>
      </c>
      <c r="E240" s="471">
        <v>0</v>
      </c>
      <c r="F240" s="471"/>
    </row>
    <row r="241" spans="1:9" ht="16" x14ac:dyDescent="0.2">
      <c r="A241" s="184">
        <f t="shared" si="18"/>
        <v>6</v>
      </c>
      <c r="B241" s="471"/>
      <c r="C241" s="471">
        <v>0</v>
      </c>
      <c r="D241" s="471">
        <v>0</v>
      </c>
      <c r="E241" s="471">
        <v>0</v>
      </c>
      <c r="F241" s="477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477">
        <f>15000/1%</f>
        <v>1500000</v>
      </c>
      <c r="C242" s="471"/>
      <c r="D242" s="471">
        <v>15000</v>
      </c>
      <c r="E242" s="258"/>
      <c r="F242" s="471"/>
      <c r="I242" s="43" t="s">
        <v>2615</v>
      </c>
    </row>
    <row r="243" spans="1:9" x14ac:dyDescent="0.2">
      <c r="I243" s="43" t="s">
        <v>2616</v>
      </c>
    </row>
    <row r="244" spans="1:9" x14ac:dyDescent="0.2">
      <c r="A244" s="43" t="s">
        <v>1697</v>
      </c>
    </row>
    <row r="245" spans="1:9" x14ac:dyDescent="0.2">
      <c r="A245" s="43" t="s">
        <v>1698</v>
      </c>
    </row>
    <row r="250" spans="1:9" x14ac:dyDescent="0.2">
      <c r="A250" s="43" t="s">
        <v>1699</v>
      </c>
    </row>
    <row r="251" spans="1:9" x14ac:dyDescent="0.2">
      <c r="A251" s="43" t="s">
        <v>1700</v>
      </c>
    </row>
    <row r="252" spans="1:9" x14ac:dyDescent="0.2">
      <c r="A252" s="43" t="s">
        <v>1701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1702</v>
      </c>
      <c r="D255" s="47">
        <v>6</v>
      </c>
      <c r="E255" s="43" t="s">
        <v>89</v>
      </c>
    </row>
    <row r="256" spans="1:9" ht="16" x14ac:dyDescent="0.2">
      <c r="A256" s="43" t="s">
        <v>1703</v>
      </c>
      <c r="D256" s="190">
        <f>PV(D254,D255,D257,D258)</f>
        <v>-1413067.8528813098</v>
      </c>
      <c r="E256" s="43" t="s">
        <v>281</v>
      </c>
      <c r="F256" s="43" t="s">
        <v>1704</v>
      </c>
    </row>
    <row r="257" spans="1:7" x14ac:dyDescent="0.2">
      <c r="A257" s="43" t="s">
        <v>1705</v>
      </c>
      <c r="D257" s="47">
        <v>0</v>
      </c>
      <c r="E257" s="43" t="s">
        <v>91</v>
      </c>
    </row>
    <row r="258" spans="1:7" x14ac:dyDescent="0.2">
      <c r="A258" s="43" t="s">
        <v>1706</v>
      </c>
      <c r="D258" s="48">
        <f>F241</f>
        <v>1500000</v>
      </c>
      <c r="E258" s="43" t="s">
        <v>105</v>
      </c>
    </row>
    <row r="260" spans="1:7" x14ac:dyDescent="0.2">
      <c r="A260" s="191" t="s">
        <v>1707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1708</v>
      </c>
      <c r="G261" s="195"/>
    </row>
    <row r="262" spans="1:7" x14ac:dyDescent="0.2">
      <c r="A262" s="196" t="s">
        <v>1709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2617</v>
      </c>
      <c r="D266" s="43" t="s">
        <v>2618</v>
      </c>
      <c r="E266" s="43" t="s">
        <v>2622</v>
      </c>
    </row>
    <row r="267" spans="1:7" x14ac:dyDescent="0.2">
      <c r="B267" s="43" t="s">
        <v>3138</v>
      </c>
      <c r="D267" s="43" t="s">
        <v>2619</v>
      </c>
      <c r="E267" s="43" t="s">
        <v>2623</v>
      </c>
    </row>
    <row r="268" spans="1:7" x14ac:dyDescent="0.2">
      <c r="D268" s="43" t="s">
        <v>2620</v>
      </c>
      <c r="E268" s="43" t="s">
        <v>3140</v>
      </c>
    </row>
    <row r="269" spans="1:7" x14ac:dyDescent="0.2">
      <c r="D269" s="43" t="s">
        <v>2621</v>
      </c>
    </row>
    <row r="270" spans="1:7" x14ac:dyDescent="0.2">
      <c r="D270" s="43" t="s">
        <v>3139</v>
      </c>
    </row>
    <row r="273" spans="1:8" x14ac:dyDescent="0.2">
      <c r="D273" s="657" t="s">
        <v>892</v>
      </c>
    </row>
    <row r="275" spans="1:8" x14ac:dyDescent="0.2">
      <c r="A275" s="658" t="s">
        <v>3141</v>
      </c>
      <c r="B275" s="658"/>
      <c r="C275" s="658"/>
      <c r="D275" s="658"/>
      <c r="E275" s="658"/>
      <c r="F275" s="658"/>
      <c r="G275" s="658"/>
      <c r="H275" s="658"/>
    </row>
    <row r="276" spans="1:8" x14ac:dyDescent="0.2">
      <c r="A276" s="43" t="s">
        <v>3145</v>
      </c>
    </row>
    <row r="277" spans="1:8" x14ac:dyDescent="0.2">
      <c r="A277" s="43" t="s">
        <v>3142</v>
      </c>
    </row>
    <row r="278" spans="1:8" x14ac:dyDescent="0.2">
      <c r="A278" s="43" t="s">
        <v>3143</v>
      </c>
    </row>
    <row r="279" spans="1:8" x14ac:dyDescent="0.2">
      <c r="A279" s="43" t="s">
        <v>3144</v>
      </c>
    </row>
    <row r="281" spans="1:8" x14ac:dyDescent="0.2">
      <c r="A281" s="43" t="s">
        <v>111</v>
      </c>
    </row>
    <row r="283" spans="1:8" x14ac:dyDescent="0.2">
      <c r="A283" s="43" t="s">
        <v>3146</v>
      </c>
    </row>
    <row r="284" spans="1:8" x14ac:dyDescent="0.2">
      <c r="A284" s="43" t="s">
        <v>3147</v>
      </c>
    </row>
    <row r="286" spans="1:8" x14ac:dyDescent="0.2">
      <c r="A286" s="43" t="s">
        <v>3148</v>
      </c>
    </row>
    <row r="287" spans="1:8" x14ac:dyDescent="0.2">
      <c r="A287" s="43" t="s">
        <v>3149</v>
      </c>
    </row>
    <row r="289" spans="1:5" x14ac:dyDescent="0.2">
      <c r="D289" s="659">
        <f>1.12^0.25-1</f>
        <v>2.8737344722080227E-2</v>
      </c>
    </row>
    <row r="291" spans="1:5" x14ac:dyDescent="0.2">
      <c r="A291" s="43" t="s">
        <v>3150</v>
      </c>
    </row>
    <row r="296" spans="1:5" x14ac:dyDescent="0.2">
      <c r="D296" s="76">
        <f>8000/D289</f>
        <v>278383.40937091626</v>
      </c>
    </row>
    <row r="298" spans="1:5" x14ac:dyDescent="0.2">
      <c r="A298" s="43" t="s">
        <v>3151</v>
      </c>
    </row>
    <row r="300" spans="1:5" x14ac:dyDescent="0.2">
      <c r="D300" s="660">
        <f>D289</f>
        <v>2.8737344722080227E-2</v>
      </c>
      <c r="E300" s="43" t="s">
        <v>87</v>
      </c>
    </row>
    <row r="301" spans="1:5" x14ac:dyDescent="0.2">
      <c r="D301" s="43">
        <v>5</v>
      </c>
      <c r="E301" s="43" t="s">
        <v>89</v>
      </c>
    </row>
    <row r="302" spans="1:5" x14ac:dyDescent="0.2">
      <c r="D302" s="43">
        <v>0</v>
      </c>
      <c r="E302" s="43" t="s">
        <v>91</v>
      </c>
    </row>
    <row r="303" spans="1:5" x14ac:dyDescent="0.2">
      <c r="D303" s="661">
        <f>PV(D300,D301,D302,D304)</f>
        <v>-241613.29107469687</v>
      </c>
      <c r="E303" s="43" t="s">
        <v>281</v>
      </c>
    </row>
    <row r="304" spans="1:5" x14ac:dyDescent="0.2">
      <c r="D304" s="76">
        <f>D296</f>
        <v>278383.40937091626</v>
      </c>
      <c r="E304" s="43" t="s">
        <v>105</v>
      </c>
    </row>
    <row r="306" spans="1:1" x14ac:dyDescent="0.2">
      <c r="A306" s="44" t="s">
        <v>3152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12</vt:i4>
      </vt:variant>
      <vt:variant>
        <vt:lpstr>Named Ranges</vt:lpstr>
      </vt:variant>
      <vt:variant>
        <vt:i4>1</vt:i4>
      </vt:variant>
    </vt:vector>
  </HeadingPairs>
  <TitlesOfParts>
    <vt:vector size="13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Reversal - 12,13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2025-07-02T09:26:25Z</dcterms:modified>
  <cp:category/>
  <cp:contentStatus/>
</cp:coreProperties>
</file>